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olicy and Technical\Panels - External\LASAAC\2018\Projects\Internal Transactions in CIES 17-18\Revised Versions April 2018 v3\"/>
    </mc:Choice>
  </mc:AlternateContent>
  <bookViews>
    <workbookView xWindow="0" yWindow="0" windowWidth="25200" windowHeight="11985" activeTab="2"/>
  </bookViews>
  <sheets>
    <sheet name="OUTTURN REPORT TOTALS" sheetId="12" r:id="rId1"/>
    <sheet name="3.1 OUTTURN TO CIES REC" sheetId="11" r:id="rId2"/>
    <sheet name="3.2 CIES " sheetId="9" r:id="rId3"/>
    <sheet name="3.3 EFA" sheetId="1" r:id="rId4"/>
    <sheet name="3.4 EFA Note" sheetId="2" r:id="rId5"/>
    <sheet name="3.5 Note to CIES" sheetId="1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3" l="1"/>
  <c r="D16" i="13"/>
  <c r="E16" i="13" s="1"/>
  <c r="D15" i="13"/>
  <c r="D17" i="13"/>
  <c r="D18" i="13"/>
  <c r="D19" i="13"/>
  <c r="D20" i="13"/>
  <c r="D14" i="13"/>
  <c r="C15" i="13"/>
  <c r="C16" i="13"/>
  <c r="C17" i="13"/>
  <c r="C18" i="13"/>
  <c r="C20" i="13"/>
  <c r="E20" i="13" s="1"/>
  <c r="C14" i="13"/>
  <c r="E17" i="13"/>
  <c r="E15" i="13"/>
  <c r="F20" i="2"/>
  <c r="F16" i="2"/>
  <c r="F18" i="2"/>
  <c r="F9" i="2"/>
  <c r="F10" i="2"/>
  <c r="F11" i="2"/>
  <c r="F12" i="2"/>
  <c r="F13" i="2"/>
  <c r="F14" i="2"/>
  <c r="F8" i="2"/>
  <c r="D14" i="9"/>
  <c r="R15" i="11"/>
  <c r="R12" i="11"/>
  <c r="E11" i="9" s="1"/>
  <c r="E17" i="9" s="1"/>
  <c r="E19" i="13" l="1"/>
  <c r="E18" i="13"/>
  <c r="D22" i="13"/>
  <c r="C22" i="13"/>
  <c r="E14" i="13"/>
  <c r="E22" i="13" s="1"/>
  <c r="Y29" i="11" l="1"/>
  <c r="Y28" i="11"/>
  <c r="Y27" i="11"/>
  <c r="Y26" i="11"/>
  <c r="Y25" i="11"/>
  <c r="Y24" i="11"/>
  <c r="Y23" i="11"/>
  <c r="Y22" i="11"/>
  <c r="Y21" i="11"/>
  <c r="Y11" i="11"/>
  <c r="Y13" i="11"/>
  <c r="Y14" i="11"/>
  <c r="Y16" i="11"/>
  <c r="Y10" i="11"/>
  <c r="S29" i="11"/>
  <c r="S28" i="11"/>
  <c r="S27" i="11"/>
  <c r="S26" i="11"/>
  <c r="S25" i="11"/>
  <c r="S24" i="11"/>
  <c r="S23" i="11"/>
  <c r="S22" i="11"/>
  <c r="S30" i="11" s="1"/>
  <c r="S21" i="11"/>
  <c r="S11" i="11"/>
  <c r="S12" i="11"/>
  <c r="Y12" i="11" s="1"/>
  <c r="S13" i="11"/>
  <c r="S14" i="11"/>
  <c r="S15" i="11"/>
  <c r="Y15" i="11" s="1"/>
  <c r="S16" i="11"/>
  <c r="S10" i="11"/>
  <c r="R30" i="11"/>
  <c r="E9" i="12"/>
  <c r="E15" i="12" s="1"/>
  <c r="C11" i="11"/>
  <c r="C13" i="11"/>
  <c r="C14" i="11"/>
  <c r="C15" i="11"/>
  <c r="C16" i="11"/>
  <c r="B11" i="11"/>
  <c r="B12" i="11"/>
  <c r="B13" i="11"/>
  <c r="B14" i="11"/>
  <c r="B15" i="11"/>
  <c r="B16" i="11"/>
  <c r="B10" i="11"/>
  <c r="D15" i="12"/>
  <c r="C12" i="12"/>
  <c r="C9" i="12"/>
  <c r="C12" i="11" s="1"/>
  <c r="C7" i="12"/>
  <c r="C10" i="11" s="1"/>
  <c r="R18" i="11" l="1"/>
  <c r="R33" i="11" s="1"/>
  <c r="R36" i="11" s="1"/>
  <c r="S36" i="11" s="1"/>
  <c r="S18" i="11"/>
  <c r="S33" i="11" s="1"/>
  <c r="C15" i="12"/>
  <c r="K15" i="2"/>
  <c r="J17" i="2"/>
  <c r="K17" i="2" s="1"/>
  <c r="J19" i="2"/>
  <c r="K19" i="2" s="1"/>
  <c r="E9" i="2"/>
  <c r="E10" i="2"/>
  <c r="E11" i="2"/>
  <c r="E12" i="2"/>
  <c r="E13" i="2"/>
  <c r="E14" i="2"/>
  <c r="E8" i="2"/>
  <c r="D9" i="2"/>
  <c r="D10" i="2"/>
  <c r="D11" i="2"/>
  <c r="D12" i="2"/>
  <c r="D13" i="2"/>
  <c r="D14" i="2"/>
  <c r="D8" i="2"/>
  <c r="I15" i="1"/>
  <c r="I17" i="1"/>
  <c r="I19" i="1"/>
  <c r="I26" i="9"/>
  <c r="W29" i="11"/>
  <c r="W28" i="11"/>
  <c r="W27" i="11"/>
  <c r="W26" i="11"/>
  <c r="W25" i="11"/>
  <c r="W24" i="11"/>
  <c r="W23" i="11"/>
  <c r="W22" i="11"/>
  <c r="W21" i="11"/>
  <c r="W11" i="11"/>
  <c r="G9" i="2" s="1"/>
  <c r="W12" i="11"/>
  <c r="G10" i="2" s="1"/>
  <c r="W13" i="11"/>
  <c r="G11" i="2" s="1"/>
  <c r="W14" i="11"/>
  <c r="W15" i="11"/>
  <c r="G13" i="2" s="1"/>
  <c r="W16" i="11"/>
  <c r="G14" i="2" s="1"/>
  <c r="U10" i="11"/>
  <c r="U18" i="11" s="1"/>
  <c r="T30" i="11"/>
  <c r="U30" i="11"/>
  <c r="T10" i="11"/>
  <c r="Q29" i="11"/>
  <c r="Q28" i="11"/>
  <c r="Q27" i="11"/>
  <c r="Q26" i="11"/>
  <c r="Q25" i="11"/>
  <c r="Q24" i="11"/>
  <c r="Q23" i="11"/>
  <c r="Q22" i="11"/>
  <c r="Q21" i="11"/>
  <c r="O18" i="11"/>
  <c r="N18" i="11"/>
  <c r="P18" i="11"/>
  <c r="N30" i="11"/>
  <c r="E18" i="2" s="1"/>
  <c r="O30" i="11"/>
  <c r="D18" i="2" s="1"/>
  <c r="P30" i="11"/>
  <c r="G11" i="11"/>
  <c r="C9" i="2" s="1"/>
  <c r="G12" i="11"/>
  <c r="C10" i="2" s="1"/>
  <c r="G13" i="11"/>
  <c r="C11" i="2" s="1"/>
  <c r="G14" i="11"/>
  <c r="C12" i="2" s="1"/>
  <c r="G15" i="11"/>
  <c r="C13" i="2" s="1"/>
  <c r="G16" i="11"/>
  <c r="C14" i="2" s="1"/>
  <c r="G10" i="11"/>
  <c r="C8" i="2" s="1"/>
  <c r="L18" i="11"/>
  <c r="M18" i="11"/>
  <c r="V18" i="11"/>
  <c r="L30" i="11"/>
  <c r="M30" i="11"/>
  <c r="V30" i="11"/>
  <c r="H18" i="11"/>
  <c r="I18" i="11"/>
  <c r="J18" i="11"/>
  <c r="K18" i="11"/>
  <c r="H30" i="11"/>
  <c r="I30" i="11"/>
  <c r="J30" i="11"/>
  <c r="K30" i="11"/>
  <c r="E35" i="11"/>
  <c r="D22" i="1" s="1"/>
  <c r="E29" i="11"/>
  <c r="E28" i="11"/>
  <c r="E27" i="11"/>
  <c r="E26" i="11"/>
  <c r="E25" i="11"/>
  <c r="E24" i="11"/>
  <c r="E23" i="11"/>
  <c r="E22" i="11"/>
  <c r="E21" i="11"/>
  <c r="E20" i="11"/>
  <c r="E11" i="11"/>
  <c r="D9" i="1" s="1"/>
  <c r="E13" i="11"/>
  <c r="D11" i="1" s="1"/>
  <c r="E14" i="11"/>
  <c r="D12" i="1" s="1"/>
  <c r="E16" i="11"/>
  <c r="D14" i="1" s="1"/>
  <c r="D10" i="11"/>
  <c r="D18" i="11" s="1"/>
  <c r="E15" i="11"/>
  <c r="E12" i="11"/>
  <c r="D10" i="1" s="1"/>
  <c r="G30" i="11"/>
  <c r="D30" i="11"/>
  <c r="C30" i="11"/>
  <c r="H13" i="2" l="1"/>
  <c r="H9" i="2"/>
  <c r="W10" i="11"/>
  <c r="V33" i="11"/>
  <c r="V36" i="11" s="1"/>
  <c r="Q16" i="11"/>
  <c r="Q12" i="11"/>
  <c r="E10" i="1" s="1"/>
  <c r="J10" i="2" s="1"/>
  <c r="AA28" i="11"/>
  <c r="L33" i="11"/>
  <c r="L36" i="11" s="1"/>
  <c r="N33" i="11"/>
  <c r="N36" i="11" s="1"/>
  <c r="Q30" i="11"/>
  <c r="AA21" i="11"/>
  <c r="AA25" i="11"/>
  <c r="AA29" i="11"/>
  <c r="AA23" i="11"/>
  <c r="C18" i="2"/>
  <c r="AA24" i="11"/>
  <c r="H11" i="2"/>
  <c r="AA26" i="11"/>
  <c r="AA27" i="11"/>
  <c r="H14" i="2"/>
  <c r="H10" i="2"/>
  <c r="H33" i="11"/>
  <c r="H36" i="11" s="1"/>
  <c r="O33" i="11"/>
  <c r="Q15" i="11"/>
  <c r="E13" i="1" s="1"/>
  <c r="J13" i="2" s="1"/>
  <c r="K13" i="2" s="1"/>
  <c r="Q11" i="11"/>
  <c r="E9" i="1" s="1"/>
  <c r="J9" i="2" s="1"/>
  <c r="E14" i="1"/>
  <c r="J14" i="2" s="1"/>
  <c r="Q14" i="11"/>
  <c r="G12" i="2"/>
  <c r="H12" i="2" s="1"/>
  <c r="I33" i="11"/>
  <c r="I36" i="11" s="1"/>
  <c r="J33" i="11"/>
  <c r="J36" i="11" s="1"/>
  <c r="M33" i="11"/>
  <c r="M36" i="11" s="1"/>
  <c r="Q10" i="11"/>
  <c r="E8" i="1" s="1"/>
  <c r="J8" i="2" s="1"/>
  <c r="Q13" i="11"/>
  <c r="D13" i="1"/>
  <c r="G8" i="2"/>
  <c r="H8" i="2" s="1"/>
  <c r="W18" i="11"/>
  <c r="T18" i="11"/>
  <c r="T33" i="11" s="1"/>
  <c r="T36" i="11" s="1"/>
  <c r="W30" i="11"/>
  <c r="G18" i="2" s="1"/>
  <c r="U33" i="11"/>
  <c r="U36" i="11" s="1"/>
  <c r="D33" i="11"/>
  <c r="D36" i="11" s="1"/>
  <c r="P33" i="11"/>
  <c r="P36" i="11" s="1"/>
  <c r="K33" i="11"/>
  <c r="K36" i="11" s="1"/>
  <c r="O36" i="11"/>
  <c r="C18" i="11"/>
  <c r="C33" i="11" s="1"/>
  <c r="C36" i="11" s="1"/>
  <c r="C39" i="11" s="1"/>
  <c r="E30" i="11"/>
  <c r="D18" i="1" s="1"/>
  <c r="E10" i="11"/>
  <c r="D8" i="1" s="1"/>
  <c r="G18" i="11"/>
  <c r="G33" i="11" s="1"/>
  <c r="G36" i="11" s="1"/>
  <c r="K9" i="2" l="1"/>
  <c r="AA11" i="11"/>
  <c r="D10" i="9" s="1"/>
  <c r="AA16" i="11"/>
  <c r="D15" i="9" s="1"/>
  <c r="Y30" i="11"/>
  <c r="E18" i="1" s="1"/>
  <c r="J18" i="2" s="1"/>
  <c r="K14" i="2"/>
  <c r="H18" i="2"/>
  <c r="F8" i="1"/>
  <c r="H9" i="9" s="1"/>
  <c r="K8" i="2"/>
  <c r="AA12" i="11"/>
  <c r="D11" i="9" s="1"/>
  <c r="AA22" i="11"/>
  <c r="AA30" i="11" s="1"/>
  <c r="Q18" i="11"/>
  <c r="Q33" i="11" s="1"/>
  <c r="Q36" i="11" s="1"/>
  <c r="E11" i="1"/>
  <c r="AA13" i="11"/>
  <c r="D12" i="9" s="1"/>
  <c r="Y18" i="11"/>
  <c r="E12" i="1"/>
  <c r="AA14" i="11"/>
  <c r="D13" i="9" s="1"/>
  <c r="W36" i="11"/>
  <c r="F13" i="1"/>
  <c r="F14" i="1"/>
  <c r="F9" i="1"/>
  <c r="AA15" i="11"/>
  <c r="K10" i="2"/>
  <c r="F10" i="1"/>
  <c r="W33" i="11"/>
  <c r="E18" i="11"/>
  <c r="E33" i="11" s="1"/>
  <c r="AA10" i="11"/>
  <c r="D9" i="9" s="1"/>
  <c r="E36" i="11"/>
  <c r="D37" i="11"/>
  <c r="D17" i="9" l="1"/>
  <c r="F18" i="1"/>
  <c r="H25" i="9" s="1"/>
  <c r="Y33" i="11"/>
  <c r="K18" i="2"/>
  <c r="Y36" i="11"/>
  <c r="AA36" i="11" s="1"/>
  <c r="H11" i="9"/>
  <c r="H14" i="9"/>
  <c r="D23" i="1"/>
  <c r="J11" i="2"/>
  <c r="K11" i="2" s="1"/>
  <c r="F11" i="1"/>
  <c r="H15" i="9"/>
  <c r="AA18" i="11"/>
  <c r="H10" i="9"/>
  <c r="J12" i="2"/>
  <c r="K12" i="2" s="1"/>
  <c r="F12" i="1"/>
  <c r="E37" i="11"/>
  <c r="D39" i="11"/>
  <c r="H17" i="9" l="1"/>
  <c r="H13" i="9"/>
  <c r="E39" i="11"/>
  <c r="D24" i="1"/>
  <c r="AA33" i="11"/>
  <c r="H12" i="9"/>
  <c r="D26" i="1"/>
  <c r="F14" i="9" l="1"/>
  <c r="F21" i="9"/>
  <c r="AB25" i="11" s="1"/>
  <c r="AC25" i="11" s="1"/>
  <c r="F9" i="9"/>
  <c r="F10" i="9"/>
  <c r="AB11" i="11" s="1"/>
  <c r="AC11" i="11" s="1"/>
  <c r="F11" i="9"/>
  <c r="AB12" i="11" s="1"/>
  <c r="AC12" i="11" s="1"/>
  <c r="F12" i="9"/>
  <c r="F13" i="9"/>
  <c r="F15" i="9"/>
  <c r="AB16" i="11" s="1"/>
  <c r="AC16" i="11" s="1"/>
  <c r="F23" i="9"/>
  <c r="F25" i="9"/>
  <c r="AB29" i="11" s="1"/>
  <c r="AC29" i="11" s="1"/>
  <c r="F35" i="9"/>
  <c r="AB15" i="11" l="1"/>
  <c r="AC15" i="11" s="1"/>
  <c r="F17" i="9"/>
  <c r="AB10" i="11"/>
  <c r="AC10" i="11" s="1"/>
  <c r="H11" i="1"/>
  <c r="I11" i="1" s="1"/>
  <c r="AB13" i="11"/>
  <c r="AC13" i="11" s="1"/>
  <c r="H12" i="1"/>
  <c r="I12" i="1" s="1"/>
  <c r="AB14" i="11"/>
  <c r="AC14" i="11" s="1"/>
  <c r="H10" i="1"/>
  <c r="I10" i="1" s="1"/>
  <c r="I11" i="9"/>
  <c r="I12" i="9"/>
  <c r="H9" i="1"/>
  <c r="I9" i="1" s="1"/>
  <c r="I10" i="9"/>
  <c r="I13" i="9"/>
  <c r="H14" i="1"/>
  <c r="I14" i="1" s="1"/>
  <c r="I15" i="9"/>
  <c r="H8" i="1"/>
  <c r="I8" i="1" s="1"/>
  <c r="I9" i="9"/>
  <c r="H13" i="1"/>
  <c r="I13" i="1" s="1"/>
  <c r="I14" i="9"/>
  <c r="D26" i="9"/>
  <c r="E26" i="9"/>
  <c r="F19" i="9"/>
  <c r="I17" i="9" l="1"/>
  <c r="H18" i="1"/>
  <c r="I18" i="1" s="1"/>
  <c r="AB21" i="11"/>
  <c r="I25" i="9"/>
  <c r="AB18" i="11"/>
  <c r="AC18" i="11" s="1"/>
  <c r="H16" i="1"/>
  <c r="F26" i="9"/>
  <c r="F37" i="9" l="1"/>
  <c r="AB33" i="11"/>
  <c r="AC33" i="11" s="1"/>
  <c r="H20" i="1"/>
  <c r="AB30" i="11"/>
  <c r="AC30" i="11" s="1"/>
  <c r="AC21" i="11"/>
  <c r="D16" i="2" l="1"/>
  <c r="D20" i="2" s="1"/>
  <c r="E16" i="2"/>
  <c r="E20" i="2" s="1"/>
  <c r="G16" i="2"/>
  <c r="G20" i="2" s="1"/>
  <c r="H16" i="2"/>
  <c r="C16" i="2"/>
  <c r="C20" i="2" s="1"/>
  <c r="F16" i="1"/>
  <c r="E16" i="1"/>
  <c r="D16" i="1"/>
  <c r="D20" i="1" s="1"/>
  <c r="E20" i="1" l="1"/>
  <c r="J20" i="2" s="1"/>
  <c r="J16" i="2"/>
  <c r="K16" i="2" s="1"/>
  <c r="I16" i="1"/>
  <c r="H20" i="2"/>
  <c r="F20" i="1"/>
  <c r="K20" i="2" l="1"/>
  <c r="H26" i="9"/>
  <c r="I20" i="1"/>
</calcChain>
</file>

<file path=xl/comments1.xml><?xml version="1.0" encoding="utf-8"?>
<comments xmlns="http://schemas.openxmlformats.org/spreadsheetml/2006/main">
  <authors>
    <author>Davies, Gareth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
eg contribution to capital fund for later use to support future Education capital projects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increase or decrease in year on GF + HRA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Transfers to/from reserves (GF + HRA)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Davies, Gareth:</t>
        </r>
        <r>
          <rPr>
            <sz val="9"/>
            <color indexed="81"/>
            <rFont val="Tahoma"/>
            <family val="2"/>
          </rPr>
          <t xml:space="preserve">
Per MIRS Net Increase / Decrease before transfers to other statutory reserves</t>
        </r>
      </text>
    </comment>
  </commentList>
</comments>
</file>

<file path=xl/comments2.xml><?xml version="1.0" encoding="utf-8"?>
<comments xmlns="http://schemas.openxmlformats.org/spreadsheetml/2006/main">
  <authors>
    <author>Davies, Gareth</author>
  </authors>
  <commentList>
    <comment ref="E11" authorId="0" shapeId="0">
      <text>
        <r>
          <rPr>
            <sz val="9"/>
            <color indexed="81"/>
            <rFont val="Tahoma"/>
            <family val="2"/>
          </rPr>
          <t xml:space="preserve">Gross income for education includes £10K of income from the social work service for services provided by Education department. Specific adjustment applied to amend income figure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Gross expenditure for social work includes an internal transaction of £10K re payment of services received from education service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Note - no specific adjustment required since gross spend is derived from known net spend per EFA and unadjusted income totals</t>
        </r>
      </text>
    </comment>
  </commentList>
</comments>
</file>

<file path=xl/sharedStrings.xml><?xml version="1.0" encoding="utf-8"?>
<sst xmlns="http://schemas.openxmlformats.org/spreadsheetml/2006/main" count="196" uniqueCount="108">
  <si>
    <t>£</t>
  </si>
  <si>
    <t>Expenditure and Funding Analysis</t>
  </si>
  <si>
    <t>Net Expenditure Chargeable to the General Fund and HRA</t>
  </si>
  <si>
    <t>Adjustments</t>
  </si>
  <si>
    <t>Net Expenditure in the Comprehensive Income and Expenditure Statement</t>
  </si>
  <si>
    <t>20yy/zz</t>
  </si>
  <si>
    <t>Net Cost of Services</t>
  </si>
  <si>
    <t>Other Income and Expenditure</t>
  </si>
  <si>
    <t>Surplus or Deficit for Year</t>
  </si>
  <si>
    <t>Plus / less Surplus or Deficit on the General Fund and HRA Balance for the Year</t>
  </si>
  <si>
    <t>Transfers to/from Other Reserves</t>
  </si>
  <si>
    <t>Opening Combined General Fund and HRA Balance</t>
  </si>
  <si>
    <t>Closing Combined General Fund and HRA Balance</t>
  </si>
  <si>
    <t>Note to Expenditure and Funding Analysis</t>
  </si>
  <si>
    <t>Other Statutory Adjustments</t>
  </si>
  <si>
    <t>Other Differences</t>
  </si>
  <si>
    <t>Total Adjustments</t>
  </si>
  <si>
    <t>Difference between the Statutory Charge to the Combined General Fund and HRA Balance compared to the Surplus or Deficit in the Comprehensive Income and Expenditure Statement</t>
  </si>
  <si>
    <t>Comprehensive Income and Expenditure Statement</t>
  </si>
  <si>
    <t>Expenditure</t>
  </si>
  <si>
    <t>Income</t>
  </si>
  <si>
    <t>Net</t>
  </si>
  <si>
    <t>Other Operating Expenditure</t>
  </si>
  <si>
    <t>Financing and Investment Income and Expenditure</t>
  </si>
  <si>
    <t>Surplus or Deficit on Discontinued Operations</t>
  </si>
  <si>
    <t>Taxation and Non Specific Grant Income</t>
  </si>
  <si>
    <t>Surplus or Deficit on Provision of Services</t>
  </si>
  <si>
    <t>Surplus or deficit on revaluation of Property, Plant and Equipment</t>
  </si>
  <si>
    <t>Impairment losses on non-current assets charged to the Revaluation Reserve</t>
  </si>
  <si>
    <t>Surplus or deficit on revaluation of available for sale financial assets</t>
  </si>
  <si>
    <t>Remeasurement of the net defined benefit liability / asset</t>
  </si>
  <si>
    <t>Other Comprehensive Income and Expenditure</t>
  </si>
  <si>
    <t>Total Comprehensive Income and Expenditure</t>
  </si>
  <si>
    <t>Education</t>
  </si>
  <si>
    <t>OUTTURN TO CIES RECONCILIATION</t>
  </si>
  <si>
    <t>Gain/Loss on Disposal of Non-Current Assets</t>
  </si>
  <si>
    <t>Trading operations (residual)</t>
  </si>
  <si>
    <t>Interest payable</t>
  </si>
  <si>
    <t>Interest and investment income</t>
  </si>
  <si>
    <t>Net interest on the net defined benefit liability</t>
  </si>
  <si>
    <t>Non-ring fenced government grants</t>
  </si>
  <si>
    <t>Non-Domestic Rates</t>
  </si>
  <si>
    <t>Council Tax</t>
  </si>
  <si>
    <t>Capital grants and contributions</t>
  </si>
  <si>
    <t>Other Income and Expenditure Total</t>
  </si>
  <si>
    <t>Social Work Services</t>
  </si>
  <si>
    <t>Outturn Report Net Expenditure</t>
  </si>
  <si>
    <t>CIES Check Totals</t>
  </si>
  <si>
    <t>Elimination of Transfers to/from Reserves</t>
  </si>
  <si>
    <t>Capital SA</t>
  </si>
  <si>
    <t>Depreciation &amp; Impairment etc</t>
  </si>
  <si>
    <t>Amortisation of Intangible Assets</t>
  </si>
  <si>
    <t>Capital Grant &amp; Contributions recognised in CIES</t>
  </si>
  <si>
    <t>Gain/loss on sale of non-current assets</t>
  </si>
  <si>
    <t>Loans Fund Advances Repayments</t>
  </si>
  <si>
    <t>Capital receipts Applied to Support Loans Fund Repayments</t>
  </si>
  <si>
    <t>Capital from Current Revenue</t>
  </si>
  <si>
    <t>FI SA</t>
  </si>
  <si>
    <t>Difference in finance costs calculated (accounting vs statutory basis)</t>
  </si>
  <si>
    <t>Pensions SA</t>
  </si>
  <si>
    <t>Pensions Cost Net adjustment</t>
  </si>
  <si>
    <t>Employee STACA SA</t>
  </si>
  <si>
    <t>Employee holiday leave etc not chargeable to GF/HRA</t>
  </si>
  <si>
    <t xml:space="preserve"> Total SA</t>
  </si>
  <si>
    <t>Total Statutory Adjustments</t>
  </si>
  <si>
    <t xml:space="preserve">Presentation </t>
  </si>
  <si>
    <t>Authority's Management of Interest Payable and Receivable</t>
  </si>
  <si>
    <t xml:space="preserve">Authority's Management of Taxation Funding Sources </t>
  </si>
  <si>
    <t>Authority Management of Trading Operations</t>
  </si>
  <si>
    <t>CIES</t>
  </si>
  <si>
    <t>Totals presented in CIES</t>
  </si>
  <si>
    <t xml:space="preserve"> Total Other Adjusts</t>
  </si>
  <si>
    <t>Total Other Adjustments</t>
  </si>
  <si>
    <t>Total Adjustments (EFA Col 2)</t>
  </si>
  <si>
    <t>Adjusted Outturn Report Net Expenditure (EFA Col 1)</t>
  </si>
  <si>
    <t>EFA Col 1</t>
  </si>
  <si>
    <t>EFA Col 2</t>
  </si>
  <si>
    <t>Elimination of Internal Transactions</t>
  </si>
  <si>
    <t>Corporate and Support Services</t>
  </si>
  <si>
    <t>Environmental &amp; Ecological Services</t>
  </si>
  <si>
    <t>Culture and Leisure</t>
  </si>
  <si>
    <t>EFA Check</t>
  </si>
  <si>
    <t>Difference</t>
  </si>
  <si>
    <t>Check from CIES</t>
  </si>
  <si>
    <t>Economic Development Services</t>
  </si>
  <si>
    <t>Net Statutory Adjustments for Pensions</t>
  </si>
  <si>
    <t>EFA check</t>
  </si>
  <si>
    <t>Outturn Report Net Expenditures</t>
  </si>
  <si>
    <t>As Reported</t>
  </si>
  <si>
    <t>Internal Income</t>
  </si>
  <si>
    <t>Internal Spend</t>
  </si>
  <si>
    <t>Transactions Included</t>
  </si>
  <si>
    <t>INTERNAL TRANSACTIONS PRESENTATION - OPTION 3 SEPARATE NOTE</t>
  </si>
  <si>
    <t xml:space="preserve"> Total Eliminations</t>
  </si>
  <si>
    <t xml:space="preserve">Total Elimination of Internal Transactions </t>
  </si>
  <si>
    <t>Cost of Services (Note 3.5)</t>
  </si>
  <si>
    <t>Note to Comprehensive Income and Expenditure Statement</t>
  </si>
  <si>
    <t xml:space="preserve">The service lines in the Comprehensive Income and Expenditure Statement exclude </t>
  </si>
  <si>
    <t>[Elimination of internal transactions)</t>
  </si>
  <si>
    <t>to CODM</t>
  </si>
  <si>
    <t xml:space="preserve">A) Income of £10K represents internal recharge income re provision of services to the social work dept </t>
  </si>
  <si>
    <t xml:space="preserve">A) Expenditure of £10K represents internal recharge spend on services provided by the education dept </t>
  </si>
  <si>
    <t>Note:</t>
  </si>
  <si>
    <t>Transaction A is eliminated as an internal recharge (controllable budgets) internal transaction</t>
  </si>
  <si>
    <t>Service Income and Expenditure including Internal Recharges</t>
  </si>
  <si>
    <t>internal recharges. These were eliminated in the Expenditure and Funding Analysis.</t>
  </si>
  <si>
    <t xml:space="preserve">The income and expenditure for each service, inclusive of internal recharges, are shown below. </t>
  </si>
  <si>
    <t>Consumer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</si>
</sst>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;\(#,##0\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color theme="1"/>
      <name val="Verdana"/>
      <family val="2"/>
    </font>
    <font>
      <b/>
      <u/>
      <sz val="8"/>
      <color rgb="FF7030A0"/>
      <name val="Verdana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Down"/>
    </fill>
    <fill>
      <patternFill patternType="lightDown">
        <bgColor theme="0" tint="-4.9989318521683403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2" xfId="0" quotePrefix="1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164" fontId="4" fillId="0" borderId="0" xfId="0" applyNumberFormat="1" applyFont="1" applyFill="1"/>
    <xf numFmtId="164" fontId="3" fillId="0" borderId="0" xfId="0" quotePrefix="1" applyNumberFormat="1" applyFont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ill="1"/>
    <xf numFmtId="164" fontId="3" fillId="0" borderId="0" xfId="0" applyNumberFormat="1" applyFont="1" applyBorder="1"/>
    <xf numFmtId="164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vertical="top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0" fontId="2" fillId="0" borderId="0" xfId="0" applyFont="1"/>
    <xf numFmtId="164" fontId="5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/>
    <xf numFmtId="164" fontId="3" fillId="0" borderId="0" xfId="0" applyNumberFormat="1" applyFont="1" applyFill="1"/>
    <xf numFmtId="164" fontId="2" fillId="0" borderId="4" xfId="0" applyNumberFormat="1" applyFont="1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0" fontId="2" fillId="0" borderId="0" xfId="0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164" fontId="3" fillId="2" borderId="7" xfId="0" quotePrefix="1" applyNumberFormat="1" applyFont="1" applyFill="1" applyBorder="1" applyAlignment="1">
      <alignment horizontal="center" vertical="top" wrapText="1"/>
    </xf>
    <xf numFmtId="164" fontId="3" fillId="2" borderId="8" xfId="0" quotePrefix="1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vertical="top"/>
    </xf>
    <xf numFmtId="164" fontId="3" fillId="2" borderId="9" xfId="0" applyNumberFormat="1" applyFont="1" applyFill="1" applyBorder="1" applyAlignment="1">
      <alignment vertical="top"/>
    </xf>
    <xf numFmtId="164" fontId="3" fillId="2" borderId="10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164" fontId="3" fillId="2" borderId="0" xfId="0" quotePrefix="1" applyNumberFormat="1" applyFont="1" applyFill="1" applyAlignment="1">
      <alignment horizontal="center" vertical="top" wrapText="1"/>
    </xf>
    <xf numFmtId="164" fontId="3" fillId="2" borderId="2" xfId="0" quotePrefix="1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vertical="top"/>
    </xf>
    <xf numFmtId="164" fontId="3" fillId="2" borderId="3" xfId="0" applyNumberFormat="1" applyFont="1" applyFill="1" applyBorder="1" applyAlignment="1">
      <alignment vertical="top"/>
    </xf>
    <xf numFmtId="164" fontId="2" fillId="3" borderId="0" xfId="0" applyNumberFormat="1" applyFont="1" applyFill="1" applyAlignment="1">
      <alignment vertical="top"/>
    </xf>
    <xf numFmtId="164" fontId="3" fillId="3" borderId="1" xfId="0" applyNumberFormat="1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vertical="top"/>
    </xf>
    <xf numFmtId="0" fontId="2" fillId="5" borderId="7" xfId="0" applyFont="1" applyFill="1" applyBorder="1" applyAlignment="1">
      <alignment horizontal="center"/>
    </xf>
    <xf numFmtId="164" fontId="3" fillId="5" borderId="7" xfId="0" quotePrefix="1" applyNumberFormat="1" applyFont="1" applyFill="1" applyBorder="1" applyAlignment="1">
      <alignment horizontal="center" vertical="top" wrapText="1"/>
    </xf>
    <xf numFmtId="164" fontId="3" fillId="5" borderId="8" xfId="0" quotePrefix="1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vertical="top"/>
    </xf>
    <xf numFmtId="164" fontId="3" fillId="5" borderId="9" xfId="0" applyNumberFormat="1" applyFont="1" applyFill="1" applyBorder="1" applyAlignment="1">
      <alignment vertical="top"/>
    </xf>
    <xf numFmtId="164" fontId="3" fillId="5" borderId="1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vertical="top"/>
    </xf>
    <xf numFmtId="4" fontId="0" fillId="0" borderId="0" xfId="0" applyNumberFormat="1"/>
    <xf numFmtId="4" fontId="2" fillId="0" borderId="0" xfId="0" applyNumberFormat="1" applyFont="1"/>
    <xf numFmtId="164" fontId="3" fillId="0" borderId="0" xfId="0" quotePrefix="1" applyNumberFormat="1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2" fillId="0" borderId="0" xfId="0" applyNumberFormat="1" applyFont="1" applyFill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0" fontId="2" fillId="0" borderId="0" xfId="0" applyFont="1" applyFill="1"/>
    <xf numFmtId="164" fontId="2" fillId="0" borderId="0" xfId="0" applyNumberFormat="1" applyFont="1" applyFill="1"/>
    <xf numFmtId="4" fontId="3" fillId="0" borderId="6" xfId="0" applyNumberFormat="1" applyFont="1" applyFill="1" applyBorder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164" fontId="3" fillId="0" borderId="11" xfId="0" applyNumberFormat="1" applyFont="1" applyBorder="1"/>
    <xf numFmtId="0" fontId="3" fillId="0" borderId="0" xfId="0" applyFont="1" applyAlignment="1">
      <alignment horizontal="right"/>
    </xf>
    <xf numFmtId="164" fontId="9" fillId="0" borderId="0" xfId="0" applyNumberFormat="1" applyFo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top"/>
    </xf>
    <xf numFmtId="0" fontId="0" fillId="0" borderId="0" xfId="0" applyBorder="1"/>
    <xf numFmtId="164" fontId="3" fillId="6" borderId="0" xfId="0" quotePrefix="1" applyNumberFormat="1" applyFont="1" applyFill="1" applyAlignment="1">
      <alignment horizontal="center" vertical="top" wrapText="1"/>
    </xf>
    <xf numFmtId="164" fontId="3" fillId="6" borderId="2" xfId="0" quotePrefix="1" applyNumberFormat="1" applyFont="1" applyFill="1" applyBorder="1" applyAlignment="1">
      <alignment horizontal="right"/>
    </xf>
    <xf numFmtId="164" fontId="2" fillId="6" borderId="0" xfId="0" applyNumberFormat="1" applyFont="1" applyFill="1" applyAlignment="1">
      <alignment vertical="top"/>
    </xf>
    <xf numFmtId="164" fontId="3" fillId="6" borderId="3" xfId="0" applyNumberFormat="1" applyFont="1" applyFill="1" applyBorder="1" applyAlignment="1">
      <alignment vertical="top"/>
    </xf>
    <xf numFmtId="164" fontId="3" fillId="6" borderId="1" xfId="0" applyNumberFormat="1" applyFont="1" applyFill="1" applyBorder="1" applyAlignment="1">
      <alignment vertical="top"/>
    </xf>
    <xf numFmtId="164" fontId="5" fillId="6" borderId="0" xfId="0" applyNumberFormat="1" applyFont="1" applyFill="1" applyAlignment="1">
      <alignment vertical="top"/>
    </xf>
    <xf numFmtId="0" fontId="2" fillId="6" borderId="0" xfId="0" applyFont="1" applyFill="1" applyBorder="1" applyAlignment="1">
      <alignment horizontal="center"/>
    </xf>
    <xf numFmtId="164" fontId="3" fillId="6" borderId="0" xfId="0" quotePrefix="1" applyNumberFormat="1" applyFont="1" applyFill="1" applyBorder="1" applyAlignment="1">
      <alignment horizontal="center" vertical="top" wrapText="1"/>
    </xf>
    <xf numFmtId="164" fontId="2" fillId="6" borderId="0" xfId="0" applyNumberFormat="1" applyFont="1" applyFill="1" applyBorder="1" applyAlignment="1">
      <alignment vertical="top"/>
    </xf>
    <xf numFmtId="0" fontId="10" fillId="0" borderId="0" xfId="0" applyFont="1"/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quotePrefix="1" applyNumberFormat="1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18</xdr:row>
      <xdr:rowOff>19050</xdr:rowOff>
    </xdr:from>
    <xdr:to>
      <xdr:col>6</xdr:col>
      <xdr:colOff>552450</xdr:colOff>
      <xdr:row>24</xdr:row>
      <xdr:rowOff>142875</xdr:rowOff>
    </xdr:to>
    <xdr:sp macro="" textlink="">
      <xdr:nvSpPr>
        <xdr:cNvPr id="2" name="Left Brace 1"/>
        <xdr:cNvSpPr/>
      </xdr:nvSpPr>
      <xdr:spPr>
        <a:xfrm>
          <a:off x="8991600" y="3533775"/>
          <a:ext cx="238125" cy="8667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8"/>
  <sheetViews>
    <sheetView zoomScaleNormal="100" workbookViewId="0">
      <selection activeCell="C19" sqref="C19"/>
    </sheetView>
  </sheetViews>
  <sheetFormatPr defaultRowHeight="10.5" x14ac:dyDescent="0.15"/>
  <cols>
    <col min="1" max="1" width="1.5703125" style="34" customWidth="1"/>
    <col min="2" max="2" width="38.5703125" style="34" customWidth="1"/>
    <col min="3" max="3" width="18.7109375" style="34" customWidth="1"/>
    <col min="4" max="4" width="21.5703125" style="34" bestFit="1" customWidth="1"/>
    <col min="5" max="5" width="21.5703125" style="34" customWidth="1"/>
    <col min="6" max="6" width="86" style="34" customWidth="1"/>
    <col min="7" max="7" width="3.28515625" style="34" customWidth="1"/>
    <col min="8" max="22" width="18.7109375" style="34" customWidth="1"/>
    <col min="23" max="23" width="3.5703125" style="34" customWidth="1"/>
    <col min="24" max="24" width="18.28515625" style="34" customWidth="1"/>
    <col min="25" max="25" width="3.5703125" style="34" customWidth="1"/>
    <col min="26" max="26" width="18.7109375" style="34" customWidth="1"/>
    <col min="27" max="27" width="15.42578125" style="34" customWidth="1"/>
    <col min="28" max="28" width="9.85546875" style="34" bestFit="1" customWidth="1"/>
    <col min="29" max="16384" width="9.140625" style="34"/>
  </cols>
  <sheetData>
    <row r="1" spans="2:25" x14ac:dyDescent="0.15">
      <c r="B1" s="86" t="s">
        <v>92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5" x14ac:dyDescent="0.15">
      <c r="B2" s="81"/>
    </row>
    <row r="4" spans="2:25" x14ac:dyDescent="0.15">
      <c r="B4" s="82" t="s">
        <v>87</v>
      </c>
      <c r="C4" s="83" t="s">
        <v>88</v>
      </c>
      <c r="D4" s="83" t="s">
        <v>90</v>
      </c>
      <c r="E4" s="83" t="s">
        <v>89</v>
      </c>
    </row>
    <row r="5" spans="2:25" x14ac:dyDescent="0.15">
      <c r="C5" s="83" t="s">
        <v>99</v>
      </c>
      <c r="D5" s="83" t="s">
        <v>91</v>
      </c>
      <c r="E5" s="83" t="s">
        <v>91</v>
      </c>
    </row>
    <row r="6" spans="2:25" x14ac:dyDescent="0.15">
      <c r="C6" s="85" t="s">
        <v>0</v>
      </c>
      <c r="D6" s="85" t="s">
        <v>0</v>
      </c>
      <c r="E6" s="85" t="s">
        <v>0</v>
      </c>
    </row>
    <row r="7" spans="2:25" x14ac:dyDescent="0.15">
      <c r="B7" s="10" t="s">
        <v>78</v>
      </c>
      <c r="C7" s="8">
        <f>40000-1311923</f>
        <v>-1271923</v>
      </c>
      <c r="D7" s="75"/>
      <c r="E7" s="75"/>
      <c r="F7" s="75"/>
    </row>
    <row r="8" spans="2:25" x14ac:dyDescent="0.15">
      <c r="B8" s="10" t="s">
        <v>84</v>
      </c>
      <c r="C8" s="8">
        <v>100000</v>
      </c>
      <c r="D8" s="75"/>
      <c r="E8" s="75"/>
      <c r="F8" s="75"/>
    </row>
    <row r="9" spans="2:25" x14ac:dyDescent="0.15">
      <c r="B9" s="10" t="s">
        <v>33</v>
      </c>
      <c r="C9" s="75">
        <f>480000-50000</f>
        <v>430000</v>
      </c>
      <c r="D9" s="75"/>
      <c r="E9" s="75">
        <f>-D12</f>
        <v>-10000</v>
      </c>
      <c r="F9" s="75" t="s">
        <v>100</v>
      </c>
    </row>
    <row r="10" spans="2:25" x14ac:dyDescent="0.15">
      <c r="B10" s="10" t="s">
        <v>79</v>
      </c>
      <c r="C10" s="75">
        <v>90000</v>
      </c>
      <c r="D10" s="75"/>
      <c r="E10" s="75"/>
      <c r="F10" s="75"/>
    </row>
    <row r="11" spans="2:25" x14ac:dyDescent="0.15">
      <c r="B11" s="10" t="s">
        <v>80</v>
      </c>
      <c r="C11" s="75">
        <v>140000</v>
      </c>
      <c r="D11" s="75"/>
      <c r="E11" s="75"/>
      <c r="F11" s="75"/>
    </row>
    <row r="12" spans="2:25" x14ac:dyDescent="0.15">
      <c r="B12" s="10" t="s">
        <v>45</v>
      </c>
      <c r="C12" s="75">
        <f>390000+50000</f>
        <v>440000</v>
      </c>
      <c r="D12" s="75">
        <v>10000</v>
      </c>
      <c r="E12" s="75"/>
      <c r="F12" s="75" t="s">
        <v>101</v>
      </c>
    </row>
    <row r="13" spans="2:25" x14ac:dyDescent="0.15">
      <c r="B13" s="10" t="s">
        <v>107</v>
      </c>
      <c r="C13" s="8">
        <v>50000</v>
      </c>
      <c r="D13" s="75"/>
      <c r="E13" s="75"/>
      <c r="F13" s="75"/>
    </row>
    <row r="15" spans="2:25" ht="11.25" thickBot="1" x14ac:dyDescent="0.2">
      <c r="C15" s="84">
        <f>SUM(C7:C14)</f>
        <v>-21923</v>
      </c>
      <c r="D15" s="84">
        <f>SUM(D7:D14)</f>
        <v>10000</v>
      </c>
      <c r="E15" s="84">
        <f>SUM(E7:E14)</f>
        <v>-10000</v>
      </c>
    </row>
    <row r="16" spans="2:25" ht="11.25" thickTop="1" x14ac:dyDescent="0.15"/>
    <row r="17" spans="6:6" x14ac:dyDescent="0.15">
      <c r="F17" s="34" t="s">
        <v>102</v>
      </c>
    </row>
    <row r="18" spans="6:6" x14ac:dyDescent="0.15">
      <c r="F18" s="34" t="s">
        <v>103</v>
      </c>
    </row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41"/>
  <sheetViews>
    <sheetView zoomScaleNormal="100" workbookViewId="0">
      <pane xSplit="2" ySplit="9" topLeftCell="C10" activePane="bottomRight" state="frozen"/>
      <selection activeCell="B47" sqref="B47"/>
      <selection pane="topRight" activeCell="B47" sqref="B47"/>
      <selection pane="bottomLeft" activeCell="B47" sqref="B47"/>
      <selection pane="bottomRight" activeCell="B41" sqref="B41"/>
    </sheetView>
  </sheetViews>
  <sheetFormatPr defaultRowHeight="10.5" x14ac:dyDescent="0.15"/>
  <cols>
    <col min="1" max="1" width="3.140625" style="34" customWidth="1"/>
    <col min="2" max="2" width="43" style="34" customWidth="1"/>
    <col min="3" max="5" width="18.7109375" style="34" customWidth="1"/>
    <col min="6" max="6" width="3.28515625" style="34" customWidth="1"/>
    <col min="7" max="17" width="18.7109375" style="34" customWidth="1"/>
    <col min="18" max="19" width="18.7109375" style="78" customWidth="1"/>
    <col min="20" max="23" width="18.7109375" style="34" customWidth="1"/>
    <col min="24" max="24" width="3.5703125" style="34" customWidth="1"/>
    <col min="25" max="25" width="18.28515625" style="34" customWidth="1"/>
    <col min="26" max="26" width="3.5703125" style="34" customWidth="1"/>
    <col min="27" max="27" width="18.7109375" style="34" customWidth="1"/>
    <col min="28" max="28" width="15.42578125" style="34" customWidth="1"/>
    <col min="29" max="29" width="9.85546875" style="34" bestFit="1" customWidth="1"/>
    <col min="30" max="16384" width="9.140625" style="34"/>
  </cols>
  <sheetData>
    <row r="1" spans="2:29" x14ac:dyDescent="0.15">
      <c r="B1" s="86" t="s">
        <v>92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/>
      <c r="S1" s="79"/>
      <c r="T1" s="2"/>
      <c r="U1" s="2"/>
      <c r="V1" s="2"/>
      <c r="W1" s="2"/>
      <c r="X1" s="2"/>
      <c r="Y1" s="2"/>
      <c r="Z1" s="2"/>
    </row>
    <row r="3" spans="2:29" x14ac:dyDescent="0.15">
      <c r="B3" s="42" t="s">
        <v>34</v>
      </c>
    </row>
    <row r="4" spans="2:29" x14ac:dyDescent="0.15">
      <c r="B4" s="34" t="s">
        <v>98</v>
      </c>
    </row>
    <row r="5" spans="2:29" x14ac:dyDescent="0.15">
      <c r="C5" s="39" t="s">
        <v>99</v>
      </c>
    </row>
    <row r="6" spans="2:29" ht="12.75" customHeight="1" x14ac:dyDescent="0.15">
      <c r="E6" s="39" t="s">
        <v>75</v>
      </c>
      <c r="G6" s="39" t="s">
        <v>49</v>
      </c>
      <c r="H6" s="39" t="s">
        <v>49</v>
      </c>
      <c r="I6" s="39" t="s">
        <v>49</v>
      </c>
      <c r="J6" s="39" t="s">
        <v>49</v>
      </c>
      <c r="K6" s="39" t="s">
        <v>49</v>
      </c>
      <c r="L6" s="39" t="s">
        <v>49</v>
      </c>
      <c r="M6" s="39" t="s">
        <v>49</v>
      </c>
      <c r="N6" s="39" t="s">
        <v>57</v>
      </c>
      <c r="O6" s="39" t="s">
        <v>59</v>
      </c>
      <c r="P6" s="39" t="s">
        <v>61</v>
      </c>
      <c r="Q6" s="47" t="s">
        <v>63</v>
      </c>
      <c r="R6" s="98" t="s">
        <v>65</v>
      </c>
      <c r="S6" s="47" t="s">
        <v>93</v>
      </c>
      <c r="T6" s="45" t="s">
        <v>65</v>
      </c>
      <c r="U6" s="45" t="s">
        <v>65</v>
      </c>
      <c r="V6" s="45" t="s">
        <v>65</v>
      </c>
      <c r="W6" s="47" t="s">
        <v>71</v>
      </c>
      <c r="X6" s="45"/>
      <c r="Y6" s="47" t="s">
        <v>76</v>
      </c>
      <c r="Z6" s="45"/>
      <c r="AA6" s="61" t="s">
        <v>69</v>
      </c>
    </row>
    <row r="7" spans="2:29" ht="52.5" x14ac:dyDescent="0.15">
      <c r="B7" s="36"/>
      <c r="C7" s="15" t="s">
        <v>46</v>
      </c>
      <c r="D7" s="15" t="s">
        <v>48</v>
      </c>
      <c r="E7" s="54" t="s">
        <v>74</v>
      </c>
      <c r="F7" s="15"/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04" t="s">
        <v>55</v>
      </c>
      <c r="M7" s="15" t="s">
        <v>56</v>
      </c>
      <c r="N7" s="15" t="s">
        <v>58</v>
      </c>
      <c r="O7" s="15" t="s">
        <v>60</v>
      </c>
      <c r="P7" s="15" t="s">
        <v>62</v>
      </c>
      <c r="Q7" s="48" t="s">
        <v>64</v>
      </c>
      <c r="R7" s="99" t="s">
        <v>77</v>
      </c>
      <c r="S7" s="48" t="s">
        <v>94</v>
      </c>
      <c r="T7" s="46" t="s">
        <v>66</v>
      </c>
      <c r="U7" s="46" t="s">
        <v>67</v>
      </c>
      <c r="V7" s="15" t="s">
        <v>68</v>
      </c>
      <c r="W7" s="48" t="s">
        <v>72</v>
      </c>
      <c r="X7" s="15"/>
      <c r="Y7" s="48" t="s">
        <v>73</v>
      </c>
      <c r="Z7" s="15"/>
      <c r="AA7" s="62" t="s">
        <v>70</v>
      </c>
      <c r="AB7" s="38" t="s">
        <v>47</v>
      </c>
    </row>
    <row r="8" spans="2:29" x14ac:dyDescent="0.15">
      <c r="B8" s="6"/>
      <c r="C8" s="5" t="s">
        <v>0</v>
      </c>
      <c r="D8" s="5"/>
      <c r="E8" s="55" t="s">
        <v>0</v>
      </c>
      <c r="F8" s="25"/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5" t="s">
        <v>0</v>
      </c>
      <c r="N8" s="5" t="s">
        <v>0</v>
      </c>
      <c r="O8" s="5" t="s">
        <v>0</v>
      </c>
      <c r="P8" s="5" t="s">
        <v>0</v>
      </c>
      <c r="Q8" s="49"/>
      <c r="R8" s="93"/>
      <c r="S8" s="49"/>
      <c r="T8" s="5"/>
      <c r="U8" s="5"/>
      <c r="V8" s="5" t="s">
        <v>0</v>
      </c>
      <c r="W8" s="49"/>
      <c r="X8" s="25"/>
      <c r="Y8" s="49"/>
      <c r="Z8" s="25"/>
      <c r="AA8" s="63"/>
    </row>
    <row r="9" spans="2:29" ht="11.25" thickBot="1" x14ac:dyDescent="0.2">
      <c r="B9" s="9"/>
      <c r="C9" s="8"/>
      <c r="D9" s="8"/>
      <c r="E9" s="5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50"/>
      <c r="R9" s="100"/>
      <c r="S9" s="50"/>
      <c r="T9" s="18"/>
      <c r="U9" s="18"/>
      <c r="V9" s="8"/>
      <c r="W9" s="50"/>
      <c r="X9" s="8"/>
      <c r="Y9" s="50"/>
      <c r="Z9" s="8"/>
      <c r="AA9" s="64"/>
    </row>
    <row r="10" spans="2:29" ht="11.25" thickBot="1" x14ac:dyDescent="0.2">
      <c r="B10" s="10" t="str">
        <f>'OUTTURN REPORT TOTALS'!B7</f>
        <v>Corporate and Support Services</v>
      </c>
      <c r="C10" s="8">
        <f>'OUTTURN REPORT TOTALS'!C7</f>
        <v>-1271923</v>
      </c>
      <c r="D10" s="8">
        <f>-7041</f>
        <v>-7041</v>
      </c>
      <c r="E10" s="56">
        <f>SUM(C10:D10)</f>
        <v>-1278964</v>
      </c>
      <c r="F10" s="8"/>
      <c r="G10" s="8">
        <f>172620/7</f>
        <v>24660</v>
      </c>
      <c r="H10" s="8">
        <v>1948</v>
      </c>
      <c r="I10" s="8"/>
      <c r="J10" s="8"/>
      <c r="K10" s="43">
        <v>-101631</v>
      </c>
      <c r="L10" s="44">
        <v>18653</v>
      </c>
      <c r="M10" s="8">
        <v>-2628</v>
      </c>
      <c r="N10" s="8">
        <v>-4020</v>
      </c>
      <c r="O10" s="8">
        <v>1500</v>
      </c>
      <c r="P10" s="8">
        <v>-257</v>
      </c>
      <c r="Q10" s="50">
        <f>SUM(G10:P10)</f>
        <v>-61775</v>
      </c>
      <c r="R10" s="100"/>
      <c r="S10" s="50">
        <f>SUM(R10)</f>
        <v>0</v>
      </c>
      <c r="T10" s="18">
        <f>-97151+6266</f>
        <v>-90885</v>
      </c>
      <c r="U10" s="18">
        <f>887888+382497+186803</f>
        <v>1457188</v>
      </c>
      <c r="V10" s="8">
        <v>1910</v>
      </c>
      <c r="W10" s="50">
        <f>SUM(T10:V10)</f>
        <v>1368213</v>
      </c>
      <c r="X10" s="8"/>
      <c r="Y10" s="50">
        <f>W10+S10+Q10</f>
        <v>1306438</v>
      </c>
      <c r="Z10" s="8"/>
      <c r="AA10" s="64">
        <f>E10+Y10</f>
        <v>27474</v>
      </c>
      <c r="AB10" s="27">
        <f>'3.2 CIES '!F9</f>
        <v>27474</v>
      </c>
      <c r="AC10" s="70">
        <f t="shared" ref="AC10:AC16" si="0">AA10-AB10</f>
        <v>0</v>
      </c>
    </row>
    <row r="11" spans="2:29" x14ac:dyDescent="0.15">
      <c r="B11" s="10" t="str">
        <f>'OUTTURN REPORT TOTALS'!B8</f>
        <v>Economic Development Services</v>
      </c>
      <c r="C11" s="8">
        <f>'OUTTURN REPORT TOTALS'!C8</f>
        <v>100000</v>
      </c>
      <c r="D11" s="8"/>
      <c r="E11" s="56">
        <f t="shared" ref="E11:E16" si="1">SUM(C11:D11)</f>
        <v>100000</v>
      </c>
      <c r="F11" s="8"/>
      <c r="G11" s="8">
        <f t="shared" ref="G11:G16" si="2">172620/7</f>
        <v>24660</v>
      </c>
      <c r="H11" s="8"/>
      <c r="I11" s="8"/>
      <c r="J11" s="8"/>
      <c r="K11" s="8"/>
      <c r="L11" s="8"/>
      <c r="M11" s="8"/>
      <c r="N11" s="8"/>
      <c r="O11" s="8">
        <v>2000</v>
      </c>
      <c r="P11" s="8">
        <v>-100</v>
      </c>
      <c r="Q11" s="50">
        <f t="shared" ref="Q11:Q16" si="3">SUM(G11:P11)</f>
        <v>26560</v>
      </c>
      <c r="R11" s="100"/>
      <c r="S11" s="50">
        <f t="shared" ref="S11:S16" si="4">SUM(R11)</f>
        <v>0</v>
      </c>
      <c r="T11" s="18"/>
      <c r="U11" s="18"/>
      <c r="V11" s="8"/>
      <c r="W11" s="50">
        <f t="shared" ref="W11:W16" si="5">SUM(T11:V11)</f>
        <v>0</v>
      </c>
      <c r="X11" s="8"/>
      <c r="Y11" s="50">
        <f t="shared" ref="Y11:Y16" si="6">W11+S11+Q11</f>
        <v>26560</v>
      </c>
      <c r="Z11" s="8"/>
      <c r="AA11" s="64">
        <f t="shared" ref="AA11:AA16" si="7">E11+Y11</f>
        <v>126560</v>
      </c>
      <c r="AB11" s="27">
        <f>'3.2 CIES '!F10</f>
        <v>126560</v>
      </c>
      <c r="AC11" s="70">
        <f t="shared" si="0"/>
        <v>0</v>
      </c>
    </row>
    <row r="12" spans="2:29" x14ac:dyDescent="0.15">
      <c r="B12" s="10" t="str">
        <f>'OUTTURN REPORT TOTALS'!B9</f>
        <v>Education</v>
      </c>
      <c r="C12" s="8">
        <f>'OUTTURN REPORT TOTALS'!C9</f>
        <v>430000</v>
      </c>
      <c r="D12" s="8">
        <v>-2000</v>
      </c>
      <c r="E12" s="56">
        <f t="shared" si="1"/>
        <v>428000</v>
      </c>
      <c r="F12" s="8"/>
      <c r="G12" s="8">
        <f t="shared" si="2"/>
        <v>24660</v>
      </c>
      <c r="H12" s="8"/>
      <c r="I12" s="8"/>
      <c r="J12" s="8"/>
      <c r="K12" s="8"/>
      <c r="L12" s="8"/>
      <c r="M12" s="8"/>
      <c r="N12" s="8"/>
      <c r="O12" s="8">
        <v>2000</v>
      </c>
      <c r="P12" s="8">
        <v>-1500</v>
      </c>
      <c r="Q12" s="50">
        <f t="shared" si="3"/>
        <v>25160</v>
      </c>
      <c r="R12" s="100">
        <f>-'OUTTURN REPORT TOTALS'!E9</f>
        <v>10000</v>
      </c>
      <c r="S12" s="50">
        <f t="shared" si="4"/>
        <v>10000</v>
      </c>
      <c r="T12" s="18"/>
      <c r="U12" s="18"/>
      <c r="V12" s="8"/>
      <c r="W12" s="50">
        <f t="shared" si="5"/>
        <v>0</v>
      </c>
      <c r="X12" s="8"/>
      <c r="Y12" s="50">
        <f t="shared" si="6"/>
        <v>35160</v>
      </c>
      <c r="Z12" s="8"/>
      <c r="AA12" s="64">
        <f t="shared" si="7"/>
        <v>463160</v>
      </c>
      <c r="AB12" s="27">
        <f>'3.2 CIES '!F11</f>
        <v>463160</v>
      </c>
      <c r="AC12" s="70">
        <f t="shared" si="0"/>
        <v>0</v>
      </c>
    </row>
    <row r="13" spans="2:29" x14ac:dyDescent="0.15">
      <c r="B13" s="10" t="str">
        <f>'OUTTURN REPORT TOTALS'!B10</f>
        <v>Environmental &amp; Ecological Services</v>
      </c>
      <c r="C13" s="8">
        <f>'OUTTURN REPORT TOTALS'!C10</f>
        <v>90000</v>
      </c>
      <c r="D13" s="8"/>
      <c r="E13" s="56">
        <f t="shared" si="1"/>
        <v>90000</v>
      </c>
      <c r="F13" s="8"/>
      <c r="G13" s="8">
        <f t="shared" si="2"/>
        <v>24660</v>
      </c>
      <c r="H13" s="8"/>
      <c r="I13" s="8"/>
      <c r="J13" s="8"/>
      <c r="K13" s="8"/>
      <c r="L13" s="8"/>
      <c r="M13" s="8"/>
      <c r="N13" s="8"/>
      <c r="O13" s="8">
        <v>1000</v>
      </c>
      <c r="P13" s="8">
        <v>-100</v>
      </c>
      <c r="Q13" s="50">
        <f t="shared" si="3"/>
        <v>25560</v>
      </c>
      <c r="R13" s="100"/>
      <c r="S13" s="50">
        <f t="shared" si="4"/>
        <v>0</v>
      </c>
      <c r="T13" s="18"/>
      <c r="U13" s="18"/>
      <c r="V13" s="8"/>
      <c r="W13" s="50">
        <f t="shared" si="5"/>
        <v>0</v>
      </c>
      <c r="X13" s="8"/>
      <c r="Y13" s="50">
        <f t="shared" si="6"/>
        <v>25560</v>
      </c>
      <c r="Z13" s="8"/>
      <c r="AA13" s="64">
        <f t="shared" si="7"/>
        <v>115560</v>
      </c>
      <c r="AB13" s="27">
        <f>'3.2 CIES '!F12</f>
        <v>115560</v>
      </c>
      <c r="AC13" s="70">
        <f t="shared" si="0"/>
        <v>0</v>
      </c>
    </row>
    <row r="14" spans="2:29" x14ac:dyDescent="0.15">
      <c r="B14" s="10" t="str">
        <f>'OUTTURN REPORT TOTALS'!B11</f>
        <v>Culture and Leisure</v>
      </c>
      <c r="C14" s="8">
        <f>'OUTTURN REPORT TOTALS'!C11</f>
        <v>140000</v>
      </c>
      <c r="D14" s="8"/>
      <c r="E14" s="56">
        <f t="shared" si="1"/>
        <v>140000</v>
      </c>
      <c r="F14" s="8"/>
      <c r="G14" s="8">
        <f t="shared" si="2"/>
        <v>24660</v>
      </c>
      <c r="H14" s="8"/>
      <c r="I14" s="8"/>
      <c r="J14" s="8"/>
      <c r="K14" s="8"/>
      <c r="L14" s="8"/>
      <c r="M14" s="8"/>
      <c r="N14" s="8"/>
      <c r="O14" s="8">
        <v>1500</v>
      </c>
      <c r="P14" s="8">
        <v>-100</v>
      </c>
      <c r="Q14" s="50">
        <f t="shared" si="3"/>
        <v>26060</v>
      </c>
      <c r="R14" s="100"/>
      <c r="S14" s="50">
        <f t="shared" si="4"/>
        <v>0</v>
      </c>
      <c r="T14" s="18"/>
      <c r="U14" s="18"/>
      <c r="V14" s="8"/>
      <c r="W14" s="50">
        <f t="shared" si="5"/>
        <v>0</v>
      </c>
      <c r="X14" s="8"/>
      <c r="Y14" s="50">
        <f t="shared" si="6"/>
        <v>26060</v>
      </c>
      <c r="Z14" s="8"/>
      <c r="AA14" s="64">
        <f t="shared" si="7"/>
        <v>166060</v>
      </c>
      <c r="AB14" s="27">
        <f>'3.2 CIES '!F13</f>
        <v>166060</v>
      </c>
      <c r="AC14" s="70">
        <f t="shared" si="0"/>
        <v>0</v>
      </c>
    </row>
    <row r="15" spans="2:29" x14ac:dyDescent="0.15">
      <c r="B15" s="10" t="str">
        <f>'OUTTURN REPORT TOTALS'!B12</f>
        <v>Social Work Services</v>
      </c>
      <c r="C15" s="8">
        <f>'OUTTURN REPORT TOTALS'!C12</f>
        <v>440000</v>
      </c>
      <c r="D15" s="8"/>
      <c r="E15" s="56">
        <f t="shared" si="1"/>
        <v>440000</v>
      </c>
      <c r="F15" s="8"/>
      <c r="G15" s="8">
        <f t="shared" si="2"/>
        <v>24660</v>
      </c>
      <c r="H15" s="8"/>
      <c r="I15" s="8"/>
      <c r="J15" s="8"/>
      <c r="K15" s="8"/>
      <c r="L15" s="8"/>
      <c r="M15" s="8">
        <v>-3000</v>
      </c>
      <c r="N15" s="8"/>
      <c r="O15" s="8">
        <v>2500</v>
      </c>
      <c r="P15" s="8">
        <v>-300</v>
      </c>
      <c r="Q15" s="50">
        <f t="shared" si="3"/>
        <v>23860</v>
      </c>
      <c r="R15" s="100">
        <f>-'OUTTURN REPORT TOTALS'!D12</f>
        <v>-10000</v>
      </c>
      <c r="S15" s="50">
        <f t="shared" si="4"/>
        <v>-10000</v>
      </c>
      <c r="T15" s="18"/>
      <c r="U15" s="18"/>
      <c r="V15" s="8"/>
      <c r="W15" s="50">
        <f t="shared" si="5"/>
        <v>0</v>
      </c>
      <c r="X15" s="8"/>
      <c r="Y15" s="50">
        <f t="shared" si="6"/>
        <v>13860</v>
      </c>
      <c r="Z15" s="8"/>
      <c r="AA15" s="64">
        <f t="shared" si="7"/>
        <v>453860</v>
      </c>
      <c r="AB15" s="27">
        <f>'3.2 CIES '!F14</f>
        <v>453860</v>
      </c>
      <c r="AC15" s="70">
        <f t="shared" si="0"/>
        <v>0</v>
      </c>
    </row>
    <row r="16" spans="2:29" x14ac:dyDescent="0.15">
      <c r="B16" s="10" t="str">
        <f>'OUTTURN REPORT TOTALS'!B13</f>
        <v>Consumer Protection</v>
      </c>
      <c r="C16" s="8">
        <f>'OUTTURN REPORT TOTALS'!C13</f>
        <v>50000</v>
      </c>
      <c r="D16" s="8"/>
      <c r="E16" s="56">
        <f t="shared" si="1"/>
        <v>50000</v>
      </c>
      <c r="F16" s="8"/>
      <c r="G16" s="8">
        <f t="shared" si="2"/>
        <v>24660</v>
      </c>
      <c r="H16" s="8"/>
      <c r="I16" s="8"/>
      <c r="J16" s="8"/>
      <c r="K16" s="8"/>
      <c r="L16" s="8"/>
      <c r="M16" s="8"/>
      <c r="N16" s="8"/>
      <c r="O16" s="8">
        <v>1500</v>
      </c>
      <c r="P16" s="8">
        <v>-100</v>
      </c>
      <c r="Q16" s="50">
        <f t="shared" si="3"/>
        <v>26060</v>
      </c>
      <c r="R16" s="100"/>
      <c r="S16" s="50">
        <f t="shared" si="4"/>
        <v>0</v>
      </c>
      <c r="T16" s="18"/>
      <c r="U16" s="18"/>
      <c r="V16" s="8"/>
      <c r="W16" s="50">
        <f t="shared" si="5"/>
        <v>0</v>
      </c>
      <c r="X16" s="8"/>
      <c r="Y16" s="50">
        <f t="shared" si="6"/>
        <v>26060</v>
      </c>
      <c r="Z16" s="8"/>
      <c r="AA16" s="64">
        <f t="shared" si="7"/>
        <v>76060</v>
      </c>
      <c r="AB16" s="35">
        <f>'3.2 CIES '!F15</f>
        <v>76060</v>
      </c>
      <c r="AC16" s="70">
        <f t="shared" si="0"/>
        <v>0</v>
      </c>
    </row>
    <row r="17" spans="2:29" x14ac:dyDescent="0.15">
      <c r="B17" s="10"/>
      <c r="C17" s="8"/>
      <c r="D17" s="8"/>
      <c r="E17" s="5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50"/>
      <c r="R17" s="100"/>
      <c r="S17" s="50"/>
      <c r="T17" s="18"/>
      <c r="U17" s="18"/>
      <c r="V17" s="8"/>
      <c r="W17" s="50"/>
      <c r="X17" s="8"/>
      <c r="Y17" s="50"/>
      <c r="Z17" s="8"/>
      <c r="AA17" s="64"/>
      <c r="AB17" s="78"/>
      <c r="AC17" s="70"/>
    </row>
    <row r="18" spans="2:29" x14ac:dyDescent="0.15">
      <c r="B18" s="16" t="s">
        <v>6</v>
      </c>
      <c r="C18" s="77">
        <f>SUM(C10:C17)</f>
        <v>-21923</v>
      </c>
      <c r="D18" s="77">
        <f>SUM(D10:D17)</f>
        <v>-9041</v>
      </c>
      <c r="E18" s="57">
        <f>SUM(E10:E17)</f>
        <v>-30964</v>
      </c>
      <c r="F18" s="17"/>
      <c r="G18" s="17">
        <f>SUM(G10:G17)</f>
        <v>172620</v>
      </c>
      <c r="H18" s="17">
        <f t="shared" ref="H18:K18" si="8">SUM(H10:H17)</f>
        <v>1948</v>
      </c>
      <c r="I18" s="17">
        <f t="shared" si="8"/>
        <v>0</v>
      </c>
      <c r="J18" s="17">
        <f t="shared" si="8"/>
        <v>0</v>
      </c>
      <c r="K18" s="17">
        <f t="shared" si="8"/>
        <v>-101631</v>
      </c>
      <c r="L18" s="17">
        <f t="shared" ref="L18" si="9">SUM(L10:L17)</f>
        <v>18653</v>
      </c>
      <c r="M18" s="17">
        <f t="shared" ref="M18" si="10">SUM(M10:M17)</f>
        <v>-5628</v>
      </c>
      <c r="N18" s="17">
        <f t="shared" ref="N18" si="11">SUM(N10:N17)</f>
        <v>-4020</v>
      </c>
      <c r="O18" s="17">
        <f t="shared" ref="O18" si="12">SUM(O10:O17)</f>
        <v>12000</v>
      </c>
      <c r="P18" s="17">
        <f t="shared" ref="P18" si="13">SUM(P10:P17)</f>
        <v>-2457</v>
      </c>
      <c r="Q18" s="51">
        <f>SUM(Q10:Q17)</f>
        <v>91485</v>
      </c>
      <c r="R18" s="95">
        <f t="shared" ref="R18:T18" si="14">SUM(R10:R17)</f>
        <v>0</v>
      </c>
      <c r="S18" s="51">
        <f>SUM(S10:S17)</f>
        <v>0</v>
      </c>
      <c r="T18" s="17">
        <f t="shared" si="14"/>
        <v>-90885</v>
      </c>
      <c r="U18" s="17">
        <f t="shared" ref="U18" si="15">SUM(U10:U17)</f>
        <v>1457188</v>
      </c>
      <c r="V18" s="17">
        <f t="shared" ref="V18" si="16">SUM(V10:V17)</f>
        <v>1910</v>
      </c>
      <c r="W18" s="51">
        <f>SUM(W10:W17)</f>
        <v>1368213</v>
      </c>
      <c r="X18" s="17"/>
      <c r="Y18" s="51">
        <f>SUM(Y10:Y17)</f>
        <v>1459698</v>
      </c>
      <c r="Z18" s="17"/>
      <c r="AA18" s="65">
        <f>SUM(AA10:AA17)</f>
        <v>1428734</v>
      </c>
      <c r="AB18" s="77">
        <f>'3.2 CIES '!F17</f>
        <v>1428734</v>
      </c>
      <c r="AC18" s="70">
        <f>AA18-AB18</f>
        <v>0</v>
      </c>
    </row>
    <row r="19" spans="2:29" x14ac:dyDescent="0.15">
      <c r="B19" s="10"/>
      <c r="C19" s="8"/>
      <c r="D19" s="8"/>
      <c r="E19" s="5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50"/>
      <c r="R19" s="100"/>
      <c r="S19" s="50"/>
      <c r="T19" s="18"/>
      <c r="U19" s="18"/>
      <c r="V19" s="8"/>
      <c r="W19" s="50"/>
      <c r="X19" s="8"/>
      <c r="Y19" s="50"/>
      <c r="Z19" s="8"/>
      <c r="AA19" s="64"/>
      <c r="AB19" s="78"/>
    </row>
    <row r="20" spans="2:29" x14ac:dyDescent="0.15">
      <c r="B20" s="10" t="s">
        <v>7</v>
      </c>
      <c r="C20" s="8"/>
      <c r="D20" s="8"/>
      <c r="E20" s="56">
        <f t="shared" ref="E20:E29" si="17">SUM(C20:D20)</f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50"/>
      <c r="R20" s="100"/>
      <c r="S20" s="50"/>
      <c r="T20" s="18"/>
      <c r="U20" s="18"/>
      <c r="V20" s="8"/>
      <c r="W20" s="50"/>
      <c r="X20" s="8"/>
      <c r="Y20" s="50"/>
      <c r="Z20" s="8"/>
      <c r="AA20" s="64"/>
      <c r="AB20" s="78"/>
    </row>
    <row r="21" spans="2:29" x14ac:dyDescent="0.15">
      <c r="B21" s="37" t="s">
        <v>35</v>
      </c>
      <c r="C21" s="8"/>
      <c r="D21" s="8"/>
      <c r="E21" s="56">
        <f t="shared" si="17"/>
        <v>0</v>
      </c>
      <c r="F21" s="8"/>
      <c r="G21" s="8"/>
      <c r="H21" s="8"/>
      <c r="I21" s="8"/>
      <c r="J21" s="8">
        <v>-4282</v>
      </c>
      <c r="K21" s="8"/>
      <c r="L21" s="8"/>
      <c r="M21" s="8"/>
      <c r="N21" s="8"/>
      <c r="O21" s="8"/>
      <c r="P21" s="8"/>
      <c r="Q21" s="50">
        <f t="shared" ref="Q21:Q29" si="18">SUM(G21:P21)</f>
        <v>-4282</v>
      </c>
      <c r="R21" s="100"/>
      <c r="S21" s="50">
        <f t="shared" ref="S21:S29" si="19">SUM(R21)</f>
        <v>0</v>
      </c>
      <c r="T21" s="18"/>
      <c r="U21" s="18"/>
      <c r="V21" s="8"/>
      <c r="W21" s="50">
        <f t="shared" ref="W21:W29" si="20">SUM(T21:V21)</f>
        <v>0</v>
      </c>
      <c r="X21" s="8"/>
      <c r="Y21" s="50">
        <f t="shared" ref="Y21:Y29" si="21">W21+S21+Q21</f>
        <v>-4282</v>
      </c>
      <c r="Z21" s="8"/>
      <c r="AA21" s="64">
        <f t="shared" ref="AA21:AA29" si="22">E21+Y21</f>
        <v>-4282</v>
      </c>
      <c r="AB21" s="79">
        <f>'3.2 CIES '!F19</f>
        <v>-4282</v>
      </c>
      <c r="AC21" s="70">
        <f>AA21-AB21</f>
        <v>0</v>
      </c>
    </row>
    <row r="22" spans="2:29" x14ac:dyDescent="0.15">
      <c r="B22" s="37" t="s">
        <v>36</v>
      </c>
      <c r="C22" s="8"/>
      <c r="D22" s="8"/>
      <c r="E22" s="56">
        <f t="shared" si="17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50">
        <f t="shared" si="18"/>
        <v>0</v>
      </c>
      <c r="R22" s="100"/>
      <c r="S22" s="50">
        <f t="shared" si="19"/>
        <v>0</v>
      </c>
      <c r="T22" s="18"/>
      <c r="U22" s="18"/>
      <c r="V22" s="8">
        <v>-1910</v>
      </c>
      <c r="W22" s="50">
        <f t="shared" si="20"/>
        <v>-1910</v>
      </c>
      <c r="X22" s="8"/>
      <c r="Y22" s="50">
        <f t="shared" si="21"/>
        <v>-1910</v>
      </c>
      <c r="Z22" s="8"/>
      <c r="AA22" s="64">
        <f t="shared" si="22"/>
        <v>-1910</v>
      </c>
      <c r="AB22" s="79"/>
    </row>
    <row r="23" spans="2:29" x14ac:dyDescent="0.15">
      <c r="B23" s="37" t="s">
        <v>37</v>
      </c>
      <c r="C23" s="8"/>
      <c r="D23" s="8"/>
      <c r="E23" s="56">
        <f t="shared" si="17"/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50">
        <f t="shared" si="18"/>
        <v>0</v>
      </c>
      <c r="R23" s="100"/>
      <c r="S23" s="50">
        <f t="shared" si="19"/>
        <v>0</v>
      </c>
      <c r="T23" s="18">
        <v>97151</v>
      </c>
      <c r="U23" s="18"/>
      <c r="V23" s="8"/>
      <c r="W23" s="50">
        <f t="shared" si="20"/>
        <v>97151</v>
      </c>
      <c r="X23" s="8"/>
      <c r="Y23" s="50">
        <f t="shared" si="21"/>
        <v>97151</v>
      </c>
      <c r="Z23" s="8"/>
      <c r="AA23" s="64">
        <f t="shared" si="22"/>
        <v>97151</v>
      </c>
      <c r="AB23" s="79"/>
    </row>
    <row r="24" spans="2:29" x14ac:dyDescent="0.15">
      <c r="B24" s="37" t="s">
        <v>38</v>
      </c>
      <c r="C24" s="8"/>
      <c r="D24" s="8"/>
      <c r="E24" s="56">
        <f t="shared" si="17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0">
        <f t="shared" si="18"/>
        <v>0</v>
      </c>
      <c r="R24" s="100"/>
      <c r="S24" s="50">
        <f t="shared" si="19"/>
        <v>0</v>
      </c>
      <c r="T24" s="18">
        <v>-6266</v>
      </c>
      <c r="U24" s="18"/>
      <c r="V24" s="8"/>
      <c r="W24" s="50">
        <f t="shared" si="20"/>
        <v>-6266</v>
      </c>
      <c r="X24" s="8"/>
      <c r="Y24" s="50">
        <f t="shared" si="21"/>
        <v>-6266</v>
      </c>
      <c r="Z24" s="8"/>
      <c r="AA24" s="64">
        <f t="shared" si="22"/>
        <v>-6266</v>
      </c>
      <c r="AB24" s="79"/>
    </row>
    <row r="25" spans="2:29" x14ac:dyDescent="0.15">
      <c r="B25" s="37" t="s">
        <v>39</v>
      </c>
      <c r="C25" s="8"/>
      <c r="D25" s="8"/>
      <c r="E25" s="56">
        <f t="shared" si="17"/>
        <v>0</v>
      </c>
      <c r="F25" s="8"/>
      <c r="G25" s="8"/>
      <c r="H25" s="8"/>
      <c r="I25" s="8"/>
      <c r="J25" s="8"/>
      <c r="K25" s="8"/>
      <c r="L25" s="8"/>
      <c r="M25" s="8"/>
      <c r="N25" s="8"/>
      <c r="O25" s="8">
        <v>49000</v>
      </c>
      <c r="P25" s="8"/>
      <c r="Q25" s="50">
        <f t="shared" si="18"/>
        <v>49000</v>
      </c>
      <c r="R25" s="100"/>
      <c r="S25" s="50">
        <f t="shared" si="19"/>
        <v>0</v>
      </c>
      <c r="T25" s="18"/>
      <c r="U25" s="18"/>
      <c r="V25" s="8"/>
      <c r="W25" s="50">
        <f t="shared" si="20"/>
        <v>0</v>
      </c>
      <c r="X25" s="8"/>
      <c r="Y25" s="50">
        <f t="shared" si="21"/>
        <v>49000</v>
      </c>
      <c r="Z25" s="8"/>
      <c r="AA25" s="64">
        <f t="shared" si="22"/>
        <v>49000</v>
      </c>
      <c r="AB25" s="79">
        <f>'3.2 CIES '!F21</f>
        <v>137975</v>
      </c>
      <c r="AC25" s="70">
        <f>SUM(AA22:AA25)-AB25</f>
        <v>0</v>
      </c>
    </row>
    <row r="26" spans="2:29" x14ac:dyDescent="0.15">
      <c r="B26" s="37" t="s">
        <v>40</v>
      </c>
      <c r="C26" s="8"/>
      <c r="D26" s="8"/>
      <c r="E26" s="56">
        <f t="shared" si="17"/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50">
        <f t="shared" si="18"/>
        <v>0</v>
      </c>
      <c r="R26" s="100"/>
      <c r="S26" s="50">
        <f t="shared" si="19"/>
        <v>0</v>
      </c>
      <c r="T26" s="18"/>
      <c r="U26" s="18">
        <v>-887888</v>
      </c>
      <c r="V26" s="8"/>
      <c r="W26" s="50">
        <f t="shared" si="20"/>
        <v>-887888</v>
      </c>
      <c r="X26" s="8"/>
      <c r="Y26" s="50">
        <f t="shared" si="21"/>
        <v>-887888</v>
      </c>
      <c r="Z26" s="8"/>
      <c r="AA26" s="64">
        <f t="shared" si="22"/>
        <v>-887888</v>
      </c>
      <c r="AB26" s="79"/>
    </row>
    <row r="27" spans="2:29" x14ac:dyDescent="0.15">
      <c r="B27" s="37" t="s">
        <v>41</v>
      </c>
      <c r="C27" s="8"/>
      <c r="D27" s="8"/>
      <c r="E27" s="56">
        <f t="shared" si="17"/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50">
        <f t="shared" si="18"/>
        <v>0</v>
      </c>
      <c r="R27" s="100"/>
      <c r="S27" s="50">
        <f t="shared" si="19"/>
        <v>0</v>
      </c>
      <c r="T27" s="18"/>
      <c r="U27" s="18">
        <v>-382497</v>
      </c>
      <c r="V27" s="8"/>
      <c r="W27" s="50">
        <f t="shared" si="20"/>
        <v>-382497</v>
      </c>
      <c r="X27" s="8"/>
      <c r="Y27" s="50">
        <f t="shared" si="21"/>
        <v>-382497</v>
      </c>
      <c r="Z27" s="8"/>
      <c r="AA27" s="64">
        <f t="shared" si="22"/>
        <v>-382497</v>
      </c>
      <c r="AB27" s="79"/>
    </row>
    <row r="28" spans="2:29" x14ac:dyDescent="0.15">
      <c r="B28" s="37" t="s">
        <v>42</v>
      </c>
      <c r="C28" s="8"/>
      <c r="D28" s="8"/>
      <c r="E28" s="56">
        <f t="shared" si="17"/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50">
        <f t="shared" si="18"/>
        <v>0</v>
      </c>
      <c r="R28" s="100"/>
      <c r="S28" s="50">
        <f t="shared" si="19"/>
        <v>0</v>
      </c>
      <c r="T28" s="18"/>
      <c r="U28" s="18">
        <v>-186803</v>
      </c>
      <c r="V28" s="8"/>
      <c r="W28" s="50">
        <f t="shared" si="20"/>
        <v>-186803</v>
      </c>
      <c r="X28" s="8"/>
      <c r="Y28" s="50">
        <f t="shared" si="21"/>
        <v>-186803</v>
      </c>
      <c r="Z28" s="8"/>
      <c r="AA28" s="64">
        <f t="shared" si="22"/>
        <v>-186803</v>
      </c>
      <c r="AB28" s="79"/>
    </row>
    <row r="29" spans="2:29" x14ac:dyDescent="0.15">
      <c r="B29" s="37" t="s">
        <v>43</v>
      </c>
      <c r="C29" s="8"/>
      <c r="D29" s="8"/>
      <c r="E29" s="56">
        <f t="shared" si="17"/>
        <v>0</v>
      </c>
      <c r="F29" s="8"/>
      <c r="G29" s="8"/>
      <c r="H29" s="8"/>
      <c r="I29" s="8">
        <v>-101559</v>
      </c>
      <c r="J29" s="8"/>
      <c r="K29" s="8"/>
      <c r="L29" s="8"/>
      <c r="M29" s="8"/>
      <c r="N29" s="8"/>
      <c r="O29" s="8"/>
      <c r="P29" s="8"/>
      <c r="Q29" s="50">
        <f t="shared" si="18"/>
        <v>-101559</v>
      </c>
      <c r="R29" s="100"/>
      <c r="S29" s="50">
        <f t="shared" si="19"/>
        <v>0</v>
      </c>
      <c r="T29" s="18"/>
      <c r="U29" s="18"/>
      <c r="V29" s="8"/>
      <c r="W29" s="50">
        <f t="shared" si="20"/>
        <v>0</v>
      </c>
      <c r="X29" s="8"/>
      <c r="Y29" s="50">
        <f t="shared" si="21"/>
        <v>-101559</v>
      </c>
      <c r="Z29" s="8"/>
      <c r="AA29" s="64">
        <f t="shared" si="22"/>
        <v>-101559</v>
      </c>
      <c r="AB29" s="79">
        <f>'3.2 CIES '!F25</f>
        <v>-1558747</v>
      </c>
      <c r="AC29" s="70">
        <f>SUM(AA26:AA29)-AB29</f>
        <v>0</v>
      </c>
    </row>
    <row r="30" spans="2:29" x14ac:dyDescent="0.15">
      <c r="B30" s="16" t="s">
        <v>44</v>
      </c>
      <c r="C30" s="17">
        <f>SUM(C20:C29)</f>
        <v>0</v>
      </c>
      <c r="D30" s="17">
        <f t="shared" ref="D30:G30" si="23">SUM(D20:D29)</f>
        <v>0</v>
      </c>
      <c r="E30" s="57">
        <f t="shared" si="23"/>
        <v>0</v>
      </c>
      <c r="F30" s="19"/>
      <c r="G30" s="17">
        <f t="shared" si="23"/>
        <v>0</v>
      </c>
      <c r="H30" s="17">
        <f t="shared" ref="H30" si="24">SUM(H20:H29)</f>
        <v>0</v>
      </c>
      <c r="I30" s="17">
        <f t="shared" ref="I30" si="25">SUM(I20:I29)</f>
        <v>-101559</v>
      </c>
      <c r="J30" s="17">
        <f t="shared" ref="J30" si="26">SUM(J20:J29)</f>
        <v>-4282</v>
      </c>
      <c r="K30" s="17">
        <f t="shared" ref="K30" si="27">SUM(K20:K29)</f>
        <v>0</v>
      </c>
      <c r="L30" s="17">
        <f t="shared" ref="L30" si="28">SUM(L20:L29)</f>
        <v>0</v>
      </c>
      <c r="M30" s="17">
        <f t="shared" ref="M30" si="29">SUM(M20:M29)</f>
        <v>0</v>
      </c>
      <c r="N30" s="17">
        <f t="shared" ref="N30" si="30">SUM(N20:N29)</f>
        <v>0</v>
      </c>
      <c r="O30" s="17">
        <f t="shared" ref="O30" si="31">SUM(O20:O29)</f>
        <v>49000</v>
      </c>
      <c r="P30" s="17">
        <f t="shared" ref="P30" si="32">SUM(P20:P29)</f>
        <v>0</v>
      </c>
      <c r="Q30" s="51">
        <f>SUM(Q21:Q29)</f>
        <v>-56841</v>
      </c>
      <c r="R30" s="95">
        <f t="shared" ref="R30:T30" si="33">SUM(R20:R29)</f>
        <v>0</v>
      </c>
      <c r="S30" s="51">
        <f>SUM(S21:S29)</f>
        <v>0</v>
      </c>
      <c r="T30" s="17">
        <f t="shared" si="33"/>
        <v>90885</v>
      </c>
      <c r="U30" s="17">
        <f t="shared" ref="U30" si="34">SUM(U20:U29)</f>
        <v>-1457188</v>
      </c>
      <c r="V30" s="17">
        <f t="shared" ref="V30" si="35">SUM(V20:V29)</f>
        <v>-1910</v>
      </c>
      <c r="W30" s="51">
        <f>SUM(W21:W29)</f>
        <v>-1368213</v>
      </c>
      <c r="X30" s="19"/>
      <c r="Y30" s="51">
        <f>SUM(Y21:Y29)</f>
        <v>-1425054</v>
      </c>
      <c r="Z30" s="19"/>
      <c r="AA30" s="65">
        <f>SUM(AA21:AA29)</f>
        <v>-1425054</v>
      </c>
      <c r="AB30" s="77">
        <f>SUM(AB21:AB29)</f>
        <v>-1425054</v>
      </c>
      <c r="AC30" s="70">
        <f>AA30-AB30</f>
        <v>0</v>
      </c>
    </row>
    <row r="31" spans="2:29" x14ac:dyDescent="0.15">
      <c r="B31" s="10"/>
      <c r="C31" s="8"/>
      <c r="D31" s="8"/>
      <c r="E31" s="5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0"/>
      <c r="R31" s="100"/>
      <c r="S31" s="50"/>
      <c r="T31" s="18"/>
      <c r="U31" s="18"/>
      <c r="V31" s="8"/>
      <c r="W31" s="50"/>
      <c r="X31" s="8"/>
      <c r="Y31" s="50"/>
      <c r="Z31" s="8"/>
      <c r="AA31" s="64"/>
      <c r="AB31" s="78"/>
    </row>
    <row r="32" spans="2:29" x14ac:dyDescent="0.15">
      <c r="B32" s="10"/>
      <c r="C32" s="8"/>
      <c r="D32" s="8"/>
      <c r="E32" s="5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0"/>
      <c r="R32" s="100"/>
      <c r="S32" s="50"/>
      <c r="T32" s="18"/>
      <c r="U32" s="18"/>
      <c r="V32" s="8"/>
      <c r="W32" s="50"/>
      <c r="X32" s="8"/>
      <c r="Y32" s="50"/>
      <c r="Z32" s="8"/>
      <c r="AA32" s="64"/>
      <c r="AB32" s="78"/>
    </row>
    <row r="33" spans="2:29" ht="11.25" thickBot="1" x14ac:dyDescent="0.2">
      <c r="B33" s="13" t="s">
        <v>8</v>
      </c>
      <c r="C33" s="12">
        <f>C18+C30</f>
        <v>-21923</v>
      </c>
      <c r="D33" s="12">
        <f t="shared" ref="D33:V33" si="36">D18+D30</f>
        <v>-9041</v>
      </c>
      <c r="E33" s="53">
        <f t="shared" si="36"/>
        <v>-30964</v>
      </c>
      <c r="F33" s="19"/>
      <c r="G33" s="76">
        <f t="shared" si="36"/>
        <v>172620</v>
      </c>
      <c r="H33" s="76">
        <f t="shared" si="36"/>
        <v>1948</v>
      </c>
      <c r="I33" s="76">
        <f t="shared" si="36"/>
        <v>-101559</v>
      </c>
      <c r="J33" s="76">
        <f t="shared" si="36"/>
        <v>-4282</v>
      </c>
      <c r="K33" s="76">
        <f t="shared" si="36"/>
        <v>-101631</v>
      </c>
      <c r="L33" s="76">
        <f t="shared" si="36"/>
        <v>18653</v>
      </c>
      <c r="M33" s="76">
        <f t="shared" si="36"/>
        <v>-5628</v>
      </c>
      <c r="N33" s="76">
        <f t="shared" si="36"/>
        <v>-4020</v>
      </c>
      <c r="O33" s="76">
        <f t="shared" si="36"/>
        <v>61000</v>
      </c>
      <c r="P33" s="76">
        <f t="shared" si="36"/>
        <v>-2457</v>
      </c>
      <c r="Q33" s="52">
        <f t="shared" si="36"/>
        <v>34644</v>
      </c>
      <c r="R33" s="96">
        <f t="shared" ref="R33:S33" si="37">R18+R30</f>
        <v>0</v>
      </c>
      <c r="S33" s="52">
        <f t="shared" si="37"/>
        <v>0</v>
      </c>
      <c r="T33" s="12">
        <f t="shared" si="36"/>
        <v>0</v>
      </c>
      <c r="U33" s="12">
        <f t="shared" si="36"/>
        <v>0</v>
      </c>
      <c r="V33" s="12">
        <f t="shared" si="36"/>
        <v>0</v>
      </c>
      <c r="W33" s="52">
        <f t="shared" ref="W33" si="38">W18+W30</f>
        <v>0</v>
      </c>
      <c r="X33" s="19"/>
      <c r="Y33" s="52">
        <f t="shared" ref="Y33" si="39">Y18+Y30</f>
        <v>34644</v>
      </c>
      <c r="Z33" s="19"/>
      <c r="AA33" s="66">
        <f t="shared" ref="AA33" si="40">AA18+AA30</f>
        <v>3680</v>
      </c>
      <c r="AB33" s="80">
        <f>'3.2 CIES '!F26</f>
        <v>3680</v>
      </c>
      <c r="AC33" s="70">
        <f>AA33-AB33</f>
        <v>0</v>
      </c>
    </row>
    <row r="34" spans="2:29" x14ac:dyDescent="0.15">
      <c r="B34" s="10"/>
      <c r="C34" s="8"/>
      <c r="D34" s="8"/>
      <c r="E34" s="5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0"/>
      <c r="R34" s="100"/>
      <c r="S34" s="50"/>
      <c r="T34" s="18"/>
      <c r="U34" s="18"/>
      <c r="V34" s="8"/>
      <c r="W34" s="50"/>
      <c r="X34" s="8"/>
      <c r="Y34" s="50"/>
      <c r="Z34" s="8"/>
      <c r="AA34" s="64"/>
      <c r="AB34" s="78"/>
    </row>
    <row r="35" spans="2:29" ht="21" x14ac:dyDescent="0.15">
      <c r="B35" s="10" t="s">
        <v>11</v>
      </c>
      <c r="C35" s="8">
        <v>-39613</v>
      </c>
      <c r="D35" s="8">
        <v>0</v>
      </c>
      <c r="E35" s="56">
        <f t="shared" ref="E35:E37" si="41">SUM(C35:D35)</f>
        <v>-39613</v>
      </c>
      <c r="F35" s="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0"/>
      <c r="R35" s="100"/>
      <c r="S35" s="50"/>
      <c r="T35" s="18"/>
      <c r="U35" s="18"/>
      <c r="V35" s="8"/>
      <c r="W35" s="50"/>
      <c r="X35" s="8"/>
      <c r="Y35" s="50"/>
      <c r="Z35" s="8"/>
      <c r="AA35" s="64"/>
    </row>
    <row r="36" spans="2:29" ht="21" x14ac:dyDescent="0.15">
      <c r="B36" s="10" t="s">
        <v>9</v>
      </c>
      <c r="C36" s="75">
        <f>C33</f>
        <v>-21923</v>
      </c>
      <c r="D36" s="8">
        <f>D33</f>
        <v>-9041</v>
      </c>
      <c r="E36" s="56">
        <f t="shared" si="41"/>
        <v>-30964</v>
      </c>
      <c r="F36" s="8"/>
      <c r="G36" s="8">
        <f t="shared" ref="G36:K36" si="42">G33</f>
        <v>172620</v>
      </c>
      <c r="H36" s="8">
        <f t="shared" si="42"/>
        <v>1948</v>
      </c>
      <c r="I36" s="8">
        <f t="shared" si="42"/>
        <v>-101559</v>
      </c>
      <c r="J36" s="8">
        <f t="shared" si="42"/>
        <v>-4282</v>
      </c>
      <c r="K36" s="8">
        <f t="shared" si="42"/>
        <v>-101631</v>
      </c>
      <c r="L36" s="8">
        <f t="shared" ref="L36:V36" si="43">L33</f>
        <v>18653</v>
      </c>
      <c r="M36" s="8">
        <f t="shared" si="43"/>
        <v>-5628</v>
      </c>
      <c r="N36" s="8">
        <f t="shared" ref="N36:U36" si="44">N33</f>
        <v>-4020</v>
      </c>
      <c r="O36" s="8">
        <f t="shared" si="44"/>
        <v>61000</v>
      </c>
      <c r="P36" s="8">
        <f t="shared" si="44"/>
        <v>-2457</v>
      </c>
      <c r="Q36" s="50">
        <f t="shared" si="44"/>
        <v>34644</v>
      </c>
      <c r="R36" s="100">
        <f t="shared" ref="R36" si="45">R33</f>
        <v>0</v>
      </c>
      <c r="S36" s="50">
        <f t="shared" ref="S36" si="46">SUM(R36)</f>
        <v>0</v>
      </c>
      <c r="T36" s="18">
        <f t="shared" si="44"/>
        <v>0</v>
      </c>
      <c r="U36" s="18">
        <f t="shared" si="44"/>
        <v>0</v>
      </c>
      <c r="V36" s="8">
        <f t="shared" si="43"/>
        <v>0</v>
      </c>
      <c r="W36" s="50">
        <f t="shared" ref="W36" si="47">SUM(T36:V36)</f>
        <v>0</v>
      </c>
      <c r="X36" s="8"/>
      <c r="Y36" s="50">
        <f>W36+Q36</f>
        <v>34644</v>
      </c>
      <c r="Z36" s="8"/>
      <c r="AA36" s="64">
        <f>E36+Y36</f>
        <v>3680</v>
      </c>
    </row>
    <row r="37" spans="2:29" x14ac:dyDescent="0.15">
      <c r="B37" s="10" t="s">
        <v>10</v>
      </c>
      <c r="C37" s="75">
        <v>0</v>
      </c>
      <c r="D37" s="8">
        <f>-D36</f>
        <v>9041</v>
      </c>
      <c r="E37" s="56">
        <f t="shared" si="41"/>
        <v>9041</v>
      </c>
      <c r="F37" s="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0"/>
      <c r="R37" s="100"/>
      <c r="S37" s="50"/>
      <c r="T37" s="18"/>
      <c r="U37" s="18"/>
      <c r="V37" s="8">
        <v>0</v>
      </c>
      <c r="W37" s="50"/>
      <c r="X37" s="8"/>
      <c r="Y37" s="50"/>
      <c r="Z37" s="8"/>
      <c r="AA37" s="64"/>
    </row>
    <row r="38" spans="2:29" x14ac:dyDescent="0.15">
      <c r="B38" s="10"/>
      <c r="C38" s="75"/>
      <c r="D38" s="8"/>
      <c r="E38" s="5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0"/>
      <c r="R38" s="100"/>
      <c r="S38" s="50"/>
      <c r="T38" s="18"/>
      <c r="U38" s="18"/>
      <c r="V38" s="8"/>
      <c r="W38" s="50"/>
      <c r="X38" s="8"/>
      <c r="Y38" s="50"/>
      <c r="Z38" s="8"/>
      <c r="AA38" s="64"/>
    </row>
    <row r="39" spans="2:29" ht="21.75" thickBot="1" x14ac:dyDescent="0.2">
      <c r="B39" s="13" t="s">
        <v>12</v>
      </c>
      <c r="C39" s="76">
        <f>SUM(C35:C38)</f>
        <v>-61536</v>
      </c>
      <c r="D39" s="12">
        <f t="shared" ref="D39:E39" si="48">SUM(D35:D38)</f>
        <v>0</v>
      </c>
      <c r="E39" s="53">
        <f t="shared" si="48"/>
        <v>-61536</v>
      </c>
      <c r="F39" s="1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60"/>
      <c r="S39" s="60"/>
      <c r="T39" s="60"/>
      <c r="U39" s="60"/>
      <c r="V39" s="60"/>
      <c r="W39" s="60"/>
      <c r="X39" s="19"/>
      <c r="Y39" s="60"/>
      <c r="Z39" s="19"/>
      <c r="AA39" s="60"/>
    </row>
    <row r="40" spans="2:29" x14ac:dyDescent="0.15">
      <c r="B40" s="32"/>
      <c r="C40" s="31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87"/>
      <c r="S40" s="87"/>
      <c r="T40" s="40"/>
      <c r="U40" s="40"/>
      <c r="V40" s="40"/>
      <c r="W40" s="40"/>
      <c r="X40" s="40"/>
      <c r="Y40" s="40"/>
      <c r="Z40" s="40"/>
    </row>
    <row r="41" spans="2:29" x14ac:dyDescent="0.15"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88"/>
      <c r="S41" s="88"/>
      <c r="T41" s="41"/>
      <c r="U41" s="41"/>
      <c r="V41" s="41"/>
      <c r="W41" s="41"/>
      <c r="X41" s="41"/>
      <c r="Y41" s="41"/>
      <c r="Z41" s="41"/>
    </row>
  </sheetData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workbookViewId="0">
      <selection activeCell="F14" sqref="F14"/>
    </sheetView>
  </sheetViews>
  <sheetFormatPr defaultRowHeight="15" x14ac:dyDescent="0.25"/>
  <cols>
    <col min="1" max="1" width="2.7109375" customWidth="1"/>
    <col min="2" max="2" width="2.5703125" style="1" customWidth="1"/>
    <col min="3" max="3" width="50.28515625" style="1" customWidth="1"/>
    <col min="4" max="6" width="18.7109375" style="1" customWidth="1"/>
    <col min="8" max="9" width="17.140625" customWidth="1"/>
    <col min="10" max="10" width="17.42578125" customWidth="1"/>
    <col min="11" max="11" width="12.7109375" bestFit="1" customWidth="1"/>
    <col min="12" max="12" width="12.140625" bestFit="1" customWidth="1"/>
    <col min="13" max="13" width="12.5703125" bestFit="1" customWidth="1"/>
  </cols>
  <sheetData>
    <row r="1" spans="1:11" x14ac:dyDescent="0.25">
      <c r="C1" s="86" t="s">
        <v>92</v>
      </c>
    </row>
    <row r="2" spans="1:11" x14ac:dyDescent="0.25">
      <c r="C2" s="86"/>
    </row>
    <row r="3" spans="1:11" ht="21" customHeight="1" x14ac:dyDescent="0.25">
      <c r="A3" s="22"/>
      <c r="B3" s="105" t="s">
        <v>18</v>
      </c>
      <c r="C3" s="105"/>
      <c r="D3" s="105"/>
      <c r="E3" s="105"/>
      <c r="F3" s="105"/>
    </row>
    <row r="4" spans="1:11" x14ac:dyDescent="0.25">
      <c r="A4" s="22"/>
      <c r="B4" s="71"/>
      <c r="C4" s="23"/>
      <c r="D4" s="106" t="s">
        <v>5</v>
      </c>
      <c r="E4" s="106"/>
      <c r="F4" s="106"/>
    </row>
    <row r="5" spans="1:11" x14ac:dyDescent="0.25">
      <c r="A5" s="22"/>
      <c r="B5" s="24"/>
      <c r="C5" s="103" t="s">
        <v>99</v>
      </c>
      <c r="D5" s="24" t="s">
        <v>19</v>
      </c>
      <c r="E5" s="24" t="s">
        <v>20</v>
      </c>
      <c r="F5" s="24" t="s">
        <v>21</v>
      </c>
    </row>
    <row r="6" spans="1:11" x14ac:dyDescent="0.25">
      <c r="A6" s="22"/>
      <c r="B6" s="5"/>
      <c r="C6" s="6"/>
      <c r="D6" s="5" t="s">
        <v>0</v>
      </c>
      <c r="E6" s="5" t="s">
        <v>0</v>
      </c>
      <c r="F6" s="5" t="s">
        <v>0</v>
      </c>
      <c r="H6" s="67" t="s">
        <v>81</v>
      </c>
      <c r="I6" s="67" t="s">
        <v>82</v>
      </c>
    </row>
    <row r="7" spans="1:11" x14ac:dyDescent="0.25">
      <c r="A7" s="22"/>
      <c r="B7" s="25"/>
      <c r="C7" s="26"/>
      <c r="D7" s="25"/>
      <c r="E7" s="25"/>
      <c r="F7" s="25"/>
    </row>
    <row r="8" spans="1:11" x14ac:dyDescent="0.25">
      <c r="A8" s="22"/>
      <c r="B8" s="3"/>
      <c r="D8" s="2"/>
      <c r="E8" s="2"/>
      <c r="F8" s="2"/>
    </row>
    <row r="9" spans="1:11" x14ac:dyDescent="0.25">
      <c r="A9" s="22"/>
      <c r="B9" s="27"/>
      <c r="C9" s="10" t="s">
        <v>78</v>
      </c>
      <c r="D9" s="27">
        <f>'3.1 OUTTURN TO CIES REC'!AA10-'3.2 CIES '!E9</f>
        <v>40000</v>
      </c>
      <c r="E9" s="27">
        <v>-12526</v>
      </c>
      <c r="F9" s="27">
        <f>SUM(D9:E9)</f>
        <v>27474</v>
      </c>
      <c r="H9" s="27">
        <f>'3.3 EFA'!F8</f>
        <v>27474</v>
      </c>
      <c r="I9" s="27">
        <f>F9-H9</f>
        <v>0</v>
      </c>
      <c r="J9" s="27"/>
      <c r="K9" s="27"/>
    </row>
    <row r="10" spans="1:11" x14ac:dyDescent="0.25">
      <c r="A10" s="22"/>
      <c r="B10" s="27"/>
      <c r="C10" s="10" t="s">
        <v>84</v>
      </c>
      <c r="D10" s="27">
        <f>'3.1 OUTTURN TO CIES REC'!AA11-'3.2 CIES '!E10</f>
        <v>150000</v>
      </c>
      <c r="E10" s="27">
        <v>-23440</v>
      </c>
      <c r="F10" s="27">
        <f t="shared" ref="F10:F15" si="0">SUM(D10:E10)</f>
        <v>126560</v>
      </c>
      <c r="H10" s="27">
        <f>'3.3 EFA'!F9</f>
        <v>126560</v>
      </c>
      <c r="I10" s="27">
        <f t="shared" ref="I10:I15" si="1">F10-H10</f>
        <v>0</v>
      </c>
      <c r="J10" s="27"/>
      <c r="K10" s="27"/>
    </row>
    <row r="11" spans="1:11" x14ac:dyDescent="0.25">
      <c r="A11" s="22"/>
      <c r="B11" s="27"/>
      <c r="C11" s="10" t="s">
        <v>33</v>
      </c>
      <c r="D11" s="27">
        <f>'3.1 OUTTURN TO CIES REC'!AA12-'3.2 CIES '!E11</f>
        <v>475000</v>
      </c>
      <c r="E11" s="97">
        <f>-21840+'3.1 OUTTURN TO CIES REC'!R12</f>
        <v>-11840</v>
      </c>
      <c r="F11" s="97">
        <f t="shared" si="0"/>
        <v>463160</v>
      </c>
      <c r="H11" s="27">
        <f>'3.3 EFA'!F10</f>
        <v>463160</v>
      </c>
      <c r="I11" s="27">
        <f t="shared" si="1"/>
        <v>0</v>
      </c>
      <c r="J11" s="27"/>
      <c r="K11" s="27"/>
    </row>
    <row r="12" spans="1:11" x14ac:dyDescent="0.25">
      <c r="A12" s="22"/>
      <c r="B12" s="27"/>
      <c r="C12" s="10" t="s">
        <v>79</v>
      </c>
      <c r="D12" s="27">
        <f>'3.1 OUTTURN TO CIES REC'!AA13-'3.2 CIES '!E12</f>
        <v>150000</v>
      </c>
      <c r="E12" s="27">
        <v>-34440</v>
      </c>
      <c r="F12" s="27">
        <f t="shared" si="0"/>
        <v>115560</v>
      </c>
      <c r="H12" s="27">
        <f>'3.3 EFA'!F11</f>
        <v>115560</v>
      </c>
      <c r="I12" s="27">
        <f t="shared" si="1"/>
        <v>0</v>
      </c>
      <c r="J12" s="27"/>
      <c r="K12" s="27"/>
    </row>
    <row r="13" spans="1:11" x14ac:dyDescent="0.25">
      <c r="A13" s="22"/>
      <c r="B13" s="27"/>
      <c r="C13" s="10" t="s">
        <v>80</v>
      </c>
      <c r="D13" s="27">
        <f>'3.1 OUTTURN TO CIES REC'!AA14-'3.2 CIES '!E13</f>
        <v>200000</v>
      </c>
      <c r="E13" s="27">
        <v>-33940</v>
      </c>
      <c r="F13" s="27">
        <f t="shared" si="0"/>
        <v>166060</v>
      </c>
      <c r="H13" s="27">
        <f>'3.3 EFA'!F12</f>
        <v>166060</v>
      </c>
      <c r="I13" s="27">
        <f t="shared" si="1"/>
        <v>0</v>
      </c>
      <c r="J13" s="27"/>
      <c r="K13" s="27"/>
    </row>
    <row r="14" spans="1:11" x14ac:dyDescent="0.25">
      <c r="A14" s="22"/>
      <c r="B14" s="27"/>
      <c r="C14" s="10" t="s">
        <v>45</v>
      </c>
      <c r="D14" s="97">
        <f>('3.1 OUTTURN TO CIES REC'!AA15)-'3.2 CIES '!E14</f>
        <v>535000</v>
      </c>
      <c r="E14" s="27">
        <v>-81140</v>
      </c>
      <c r="F14" s="97">
        <f t="shared" si="0"/>
        <v>453860</v>
      </c>
      <c r="H14" s="27">
        <f>'3.3 EFA'!F13</f>
        <v>453860</v>
      </c>
      <c r="I14" s="27">
        <f t="shared" si="1"/>
        <v>0</v>
      </c>
      <c r="J14" s="27"/>
      <c r="K14" s="27"/>
    </row>
    <row r="15" spans="1:11" x14ac:dyDescent="0.25">
      <c r="A15" s="22"/>
      <c r="B15" s="27"/>
      <c r="C15" s="89" t="s">
        <v>107</v>
      </c>
      <c r="D15" s="90">
        <f>'3.1 OUTTURN TO CIES REC'!AA16-'3.2 CIES '!E15</f>
        <v>250000</v>
      </c>
      <c r="E15" s="90">
        <v>-173940</v>
      </c>
      <c r="F15" s="90">
        <f t="shared" si="0"/>
        <v>76060</v>
      </c>
      <c r="G15" s="91"/>
      <c r="H15" s="90">
        <f>'3.3 EFA'!F14</f>
        <v>76060</v>
      </c>
      <c r="I15" s="90">
        <f t="shared" si="1"/>
        <v>0</v>
      </c>
      <c r="J15" s="27"/>
      <c r="K15" s="27"/>
    </row>
    <row r="16" spans="1:11" x14ac:dyDescent="0.25">
      <c r="A16" s="22"/>
      <c r="B16" s="35"/>
      <c r="C16" s="10"/>
      <c r="D16" s="35"/>
      <c r="E16" s="35"/>
      <c r="F16" s="35"/>
      <c r="H16" s="27"/>
      <c r="I16" s="27"/>
    </row>
    <row r="17" spans="1:9" ht="15.75" thickBot="1" x14ac:dyDescent="0.3">
      <c r="A17" s="22"/>
      <c r="B17" s="28"/>
      <c r="C17" s="29" t="s">
        <v>95</v>
      </c>
      <c r="D17" s="28">
        <f>SUM(D9:D16)</f>
        <v>1800000</v>
      </c>
      <c r="E17" s="28">
        <f t="shared" ref="E17:F17" si="2">SUM(E9:E16)</f>
        <v>-371266</v>
      </c>
      <c r="F17" s="28">
        <f t="shared" si="2"/>
        <v>1428734</v>
      </c>
      <c r="H17" s="28">
        <f t="shared" ref="H17" si="3">SUM(H9:H16)</f>
        <v>1428734</v>
      </c>
      <c r="I17" s="28">
        <f t="shared" ref="I17" si="4">SUM(I9:I16)</f>
        <v>0</v>
      </c>
    </row>
    <row r="18" spans="1:9" x14ac:dyDescent="0.25">
      <c r="A18" s="22"/>
      <c r="B18" s="20"/>
      <c r="C18" s="30"/>
      <c r="D18" s="20"/>
      <c r="E18" s="20"/>
      <c r="F18" s="20"/>
      <c r="H18" s="27"/>
      <c r="I18" s="27"/>
    </row>
    <row r="19" spans="1:9" x14ac:dyDescent="0.25">
      <c r="B19" s="27"/>
      <c r="C19" s="8" t="s">
        <v>22</v>
      </c>
      <c r="D19" s="27">
        <v>0</v>
      </c>
      <c r="E19" s="27">
        <v>-4282</v>
      </c>
      <c r="F19" s="27">
        <f>SUM(D19:E19)</f>
        <v>-4282</v>
      </c>
      <c r="H19" s="68"/>
      <c r="I19" s="68"/>
    </row>
    <row r="20" spans="1:9" ht="5.0999999999999996" customHeight="1" x14ac:dyDescent="0.25">
      <c r="B20" s="7"/>
      <c r="C20" s="7"/>
      <c r="D20" s="7"/>
      <c r="E20" s="7"/>
      <c r="F20" s="7"/>
      <c r="H20" s="68"/>
      <c r="I20" s="68"/>
    </row>
    <row r="21" spans="1:9" x14ac:dyDescent="0.25">
      <c r="B21" s="8"/>
      <c r="C21" s="9" t="s">
        <v>23</v>
      </c>
      <c r="D21" s="8">
        <v>149404</v>
      </c>
      <c r="E21" s="8">
        <v>-11429</v>
      </c>
      <c r="F21" s="8">
        <f>SUM(D21:E21)</f>
        <v>137975</v>
      </c>
      <c r="H21" s="68"/>
      <c r="I21" s="68"/>
    </row>
    <row r="22" spans="1:9" ht="5.0999999999999996" customHeight="1" x14ac:dyDescent="0.25">
      <c r="B22" s="31"/>
      <c r="C22" s="31"/>
      <c r="D22" s="31"/>
      <c r="E22" s="31"/>
      <c r="F22" s="31"/>
      <c r="H22" s="68"/>
      <c r="I22" s="68"/>
    </row>
    <row r="23" spans="1:9" x14ac:dyDescent="0.25">
      <c r="B23" s="8"/>
      <c r="C23" s="9" t="s">
        <v>24</v>
      </c>
      <c r="D23" s="8">
        <v>0</v>
      </c>
      <c r="E23" s="8">
        <v>0</v>
      </c>
      <c r="F23" s="8">
        <f>SUM(D23:E23)</f>
        <v>0</v>
      </c>
      <c r="H23" s="68"/>
      <c r="I23" s="68"/>
    </row>
    <row r="24" spans="1:9" ht="5.0999999999999996" customHeight="1" x14ac:dyDescent="0.25">
      <c r="B24" s="31"/>
      <c r="C24" s="31"/>
      <c r="D24" s="31"/>
      <c r="E24" s="31"/>
      <c r="F24" s="31"/>
      <c r="H24" s="68"/>
      <c r="I24" s="68"/>
    </row>
    <row r="25" spans="1:9" x14ac:dyDescent="0.25">
      <c r="B25" s="8"/>
      <c r="C25" s="9" t="s">
        <v>25</v>
      </c>
      <c r="D25" s="8">
        <v>0</v>
      </c>
      <c r="E25" s="8">
        <v>-1558747</v>
      </c>
      <c r="F25" s="8">
        <f>SUM(D25:E25)</f>
        <v>-1558747</v>
      </c>
      <c r="H25" s="27">
        <f>'3.3 EFA'!F18</f>
        <v>-1425054</v>
      </c>
      <c r="I25" s="27">
        <f>SUM(F19:F25)-H25</f>
        <v>0</v>
      </c>
    </row>
    <row r="26" spans="1:9" ht="15.75" thickBot="1" x14ac:dyDescent="0.3">
      <c r="B26" s="28"/>
      <c r="C26" s="29" t="s">
        <v>26</v>
      </c>
      <c r="D26" s="28">
        <f>SUM(D17:D25)</f>
        <v>1949404</v>
      </c>
      <c r="E26" s="28">
        <f>SUM(E17:E25)</f>
        <v>-1945724</v>
      </c>
      <c r="F26" s="28">
        <f>SUM(F17:F25)</f>
        <v>3680</v>
      </c>
      <c r="H26" s="28">
        <f>'3.3 EFA'!F20</f>
        <v>3680</v>
      </c>
      <c r="I26" s="28">
        <f>'3.3 EFA'!G20</f>
        <v>0</v>
      </c>
    </row>
    <row r="28" spans="1:9" ht="21" x14ac:dyDescent="0.25">
      <c r="B28" s="8"/>
      <c r="C28" s="9" t="s">
        <v>27</v>
      </c>
      <c r="D28" s="8"/>
      <c r="E28" s="8"/>
      <c r="F28" s="8">
        <v>-37378</v>
      </c>
    </row>
    <row r="29" spans="1:9" ht="5.0999999999999996" customHeight="1" x14ac:dyDescent="0.25">
      <c r="B29" s="7"/>
      <c r="C29" s="7"/>
      <c r="D29" s="7"/>
      <c r="E29" s="7"/>
      <c r="F29" s="7"/>
    </row>
    <row r="30" spans="1:9" ht="21" x14ac:dyDescent="0.25">
      <c r="B30" s="7"/>
      <c r="C30" s="9" t="s">
        <v>28</v>
      </c>
      <c r="D30" s="8"/>
      <c r="E30" s="8"/>
      <c r="F30" s="8">
        <v>90</v>
      </c>
    </row>
    <row r="31" spans="1:9" ht="5.0999999999999996" customHeight="1" x14ac:dyDescent="0.25">
      <c r="B31" s="7"/>
      <c r="C31" s="8"/>
      <c r="D31" s="8"/>
      <c r="E31" s="8"/>
      <c r="F31" s="8"/>
    </row>
    <row r="32" spans="1:9" ht="21" x14ac:dyDescent="0.25">
      <c r="B32" s="7"/>
      <c r="C32" s="9" t="s">
        <v>29</v>
      </c>
      <c r="D32" s="8"/>
      <c r="E32" s="8"/>
      <c r="F32" s="8">
        <v>1025</v>
      </c>
    </row>
    <row r="33" spans="2:6" ht="5.0999999999999996" customHeight="1" x14ac:dyDescent="0.25">
      <c r="B33" s="7"/>
      <c r="C33" s="7"/>
      <c r="D33" s="7"/>
      <c r="E33" s="7"/>
      <c r="F33" s="7"/>
    </row>
    <row r="34" spans="2:6" ht="24.95" customHeight="1" x14ac:dyDescent="0.25">
      <c r="B34" s="7"/>
      <c r="C34" s="32" t="s">
        <v>30</v>
      </c>
      <c r="D34" s="7"/>
      <c r="E34" s="7"/>
      <c r="F34" s="8">
        <v>-413000</v>
      </c>
    </row>
    <row r="35" spans="2:6" ht="15.75" thickBot="1" x14ac:dyDescent="0.3">
      <c r="B35" s="7"/>
      <c r="C35" s="33" t="s">
        <v>31</v>
      </c>
      <c r="D35" s="7"/>
      <c r="E35" s="7"/>
      <c r="F35" s="12">
        <f>SUM(F28:F34)</f>
        <v>-449263</v>
      </c>
    </row>
    <row r="36" spans="2:6" x14ac:dyDescent="0.25">
      <c r="B36" s="7"/>
      <c r="C36" s="7"/>
      <c r="D36" s="7"/>
      <c r="E36" s="7"/>
      <c r="F36" s="7"/>
    </row>
    <row r="37" spans="2:6" ht="15.75" thickBot="1" x14ac:dyDescent="0.3">
      <c r="B37" s="7"/>
      <c r="C37" s="33" t="s">
        <v>32</v>
      </c>
      <c r="D37" s="7"/>
      <c r="E37" s="7"/>
      <c r="F37" s="12">
        <f>F35+F26</f>
        <v>-445583</v>
      </c>
    </row>
  </sheetData>
  <mergeCells count="2">
    <mergeCell ref="B3:F3"/>
    <mergeCell ref="D4:F4"/>
  </mergeCells>
  <pageMargins left="0.7" right="0.7" top="0.75" bottom="0.75" header="0.3" footer="0.3"/>
  <pageSetup paperSize="9" scale="8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>
      <selection activeCell="C11" sqref="C11"/>
    </sheetView>
  </sheetViews>
  <sheetFormatPr defaultRowHeight="15" x14ac:dyDescent="0.25"/>
  <cols>
    <col min="1" max="1" width="6.7109375" style="1" customWidth="1"/>
    <col min="2" max="2" width="2.42578125" style="1" customWidth="1"/>
    <col min="3" max="3" width="65.28515625" style="1" customWidth="1"/>
    <col min="4" max="6" width="18.7109375" style="1" customWidth="1"/>
    <col min="8" max="8" width="14.5703125" customWidth="1"/>
    <col min="9" max="9" width="13.7109375" customWidth="1"/>
  </cols>
  <sheetData>
    <row r="1" spans="2:9" x14ac:dyDescent="0.25">
      <c r="C1" s="86" t="s">
        <v>92</v>
      </c>
      <c r="D1" s="2"/>
      <c r="E1" s="2"/>
      <c r="F1" s="2"/>
    </row>
    <row r="2" spans="2:9" x14ac:dyDescent="0.25">
      <c r="C2" s="86"/>
      <c r="D2" s="2"/>
      <c r="E2" s="2"/>
      <c r="F2" s="2"/>
    </row>
    <row r="3" spans="2:9" ht="18" x14ac:dyDescent="0.25">
      <c r="B3" s="14" t="s">
        <v>1</v>
      </c>
    </row>
    <row r="4" spans="2:9" x14ac:dyDescent="0.25">
      <c r="B4" s="72"/>
      <c r="C4" s="3"/>
      <c r="D4" s="107" t="s">
        <v>5</v>
      </c>
      <c r="E4" s="107"/>
      <c r="F4" s="107"/>
    </row>
    <row r="5" spans="2:9" ht="63" x14ac:dyDescent="0.25">
      <c r="B5" s="15"/>
      <c r="C5" s="36" t="s">
        <v>99</v>
      </c>
      <c r="D5" s="15" t="s">
        <v>2</v>
      </c>
      <c r="E5" s="15" t="s">
        <v>3</v>
      </c>
      <c r="F5" s="15" t="s">
        <v>4</v>
      </c>
      <c r="H5" s="38" t="s">
        <v>83</v>
      </c>
    </row>
    <row r="6" spans="2:9" x14ac:dyDescent="0.25">
      <c r="B6" s="5"/>
      <c r="C6" s="6"/>
      <c r="D6" s="5" t="s">
        <v>0</v>
      </c>
      <c r="E6" s="5"/>
      <c r="F6" s="5" t="s">
        <v>0</v>
      </c>
    </row>
    <row r="7" spans="2:9" x14ac:dyDescent="0.25">
      <c r="B7" s="8"/>
      <c r="C7" s="9"/>
      <c r="D7" s="8"/>
      <c r="E7" s="8"/>
      <c r="F7" s="8"/>
    </row>
    <row r="8" spans="2:9" x14ac:dyDescent="0.25">
      <c r="B8" s="8"/>
      <c r="C8" s="10" t="s">
        <v>78</v>
      </c>
      <c r="D8" s="8">
        <f>'3.1 OUTTURN TO CIES REC'!E10</f>
        <v>-1278964</v>
      </c>
      <c r="E8" s="8">
        <f>'3.1 OUTTURN TO CIES REC'!Y10</f>
        <v>1306438</v>
      </c>
      <c r="F8" s="8">
        <f>SUM(D8:E8)</f>
        <v>27474</v>
      </c>
      <c r="H8" s="8">
        <f>'3.2 CIES '!F9</f>
        <v>27474</v>
      </c>
      <c r="I8" s="69">
        <f>F8-H8</f>
        <v>0</v>
      </c>
    </row>
    <row r="9" spans="2:9" x14ac:dyDescent="0.25">
      <c r="B9" s="8"/>
      <c r="C9" s="10" t="s">
        <v>84</v>
      </c>
      <c r="D9" s="8">
        <f>'3.1 OUTTURN TO CIES REC'!E11</f>
        <v>100000</v>
      </c>
      <c r="E9" s="8">
        <f>'3.1 OUTTURN TO CIES REC'!Y11</f>
        <v>26560</v>
      </c>
      <c r="F9" s="8">
        <f t="shared" ref="F9:F14" si="0">SUM(D9:E9)</f>
        <v>126560</v>
      </c>
      <c r="H9" s="8">
        <f>'3.2 CIES '!F10</f>
        <v>126560</v>
      </c>
      <c r="I9" s="69">
        <f t="shared" ref="I9:I20" si="1">F9-H9</f>
        <v>0</v>
      </c>
    </row>
    <row r="10" spans="2:9" x14ac:dyDescent="0.25">
      <c r="B10" s="8"/>
      <c r="C10" s="10" t="s">
        <v>33</v>
      </c>
      <c r="D10" s="8">
        <f>'3.1 OUTTURN TO CIES REC'!E12</f>
        <v>428000</v>
      </c>
      <c r="E10" s="94">
        <f>'3.1 OUTTURN TO CIES REC'!Y12</f>
        <v>35160</v>
      </c>
      <c r="F10" s="94">
        <f t="shared" si="0"/>
        <v>463160</v>
      </c>
      <c r="H10" s="8">
        <f>'3.2 CIES '!F11</f>
        <v>463160</v>
      </c>
      <c r="I10" s="69">
        <f t="shared" si="1"/>
        <v>0</v>
      </c>
    </row>
    <row r="11" spans="2:9" x14ac:dyDescent="0.25">
      <c r="B11" s="8"/>
      <c r="C11" s="10" t="s">
        <v>79</v>
      </c>
      <c r="D11" s="8">
        <f>'3.1 OUTTURN TO CIES REC'!E13</f>
        <v>90000</v>
      </c>
      <c r="E11" s="8">
        <f>'3.1 OUTTURN TO CIES REC'!Y13</f>
        <v>25560</v>
      </c>
      <c r="F11" s="8">
        <f t="shared" si="0"/>
        <v>115560</v>
      </c>
      <c r="H11" s="8">
        <f>'3.2 CIES '!F12</f>
        <v>115560</v>
      </c>
      <c r="I11" s="69">
        <f t="shared" si="1"/>
        <v>0</v>
      </c>
    </row>
    <row r="12" spans="2:9" x14ac:dyDescent="0.25">
      <c r="B12" s="8"/>
      <c r="C12" s="10" t="s">
        <v>80</v>
      </c>
      <c r="D12" s="8">
        <f>'3.1 OUTTURN TO CIES REC'!E14</f>
        <v>140000</v>
      </c>
      <c r="E12" s="8">
        <f>'3.1 OUTTURN TO CIES REC'!Y14</f>
        <v>26060</v>
      </c>
      <c r="F12" s="8">
        <f t="shared" si="0"/>
        <v>166060</v>
      </c>
      <c r="H12" s="8">
        <f>'3.2 CIES '!F13</f>
        <v>166060</v>
      </c>
      <c r="I12" s="69">
        <f t="shared" si="1"/>
        <v>0</v>
      </c>
    </row>
    <row r="13" spans="2:9" x14ac:dyDescent="0.25">
      <c r="B13" s="8"/>
      <c r="C13" s="10" t="s">
        <v>45</v>
      </c>
      <c r="D13" s="8">
        <f>'3.1 OUTTURN TO CIES REC'!E15</f>
        <v>440000</v>
      </c>
      <c r="E13" s="94">
        <f>'3.1 OUTTURN TO CIES REC'!Y15</f>
        <v>13860</v>
      </c>
      <c r="F13" s="94">
        <f>SUM(D13:E13)</f>
        <v>453860</v>
      </c>
      <c r="H13" s="8">
        <f>'3.2 CIES '!F14</f>
        <v>453860</v>
      </c>
      <c r="I13" s="69">
        <f t="shared" si="1"/>
        <v>0</v>
      </c>
    </row>
    <row r="14" spans="2:9" x14ac:dyDescent="0.25">
      <c r="B14" s="8"/>
      <c r="C14" s="10" t="s">
        <v>107</v>
      </c>
      <c r="D14" s="8">
        <f>'3.1 OUTTURN TO CIES REC'!E16</f>
        <v>50000</v>
      </c>
      <c r="E14" s="8">
        <f>'3.1 OUTTURN TO CIES REC'!Y16</f>
        <v>26060</v>
      </c>
      <c r="F14" s="8">
        <f t="shared" si="0"/>
        <v>76060</v>
      </c>
      <c r="H14" s="8">
        <f>'3.2 CIES '!F15</f>
        <v>76060</v>
      </c>
      <c r="I14" s="69">
        <f t="shared" si="1"/>
        <v>0</v>
      </c>
    </row>
    <row r="15" spans="2:9" x14ac:dyDescent="0.25">
      <c r="B15" s="8"/>
      <c r="C15" s="10"/>
      <c r="D15" s="8"/>
      <c r="E15" s="8"/>
      <c r="F15" s="8"/>
      <c r="H15" s="8"/>
      <c r="I15" s="69">
        <f t="shared" si="1"/>
        <v>0</v>
      </c>
    </row>
    <row r="16" spans="2:9" x14ac:dyDescent="0.25">
      <c r="B16" s="17"/>
      <c r="C16" s="16" t="s">
        <v>6</v>
      </c>
      <c r="D16" s="17">
        <f>SUM(D8:D15)</f>
        <v>-30964</v>
      </c>
      <c r="E16" s="17">
        <f>SUM(E8:E15)</f>
        <v>1459698</v>
      </c>
      <c r="F16" s="17">
        <f>SUM(F8:F15)</f>
        <v>1428734</v>
      </c>
      <c r="H16" s="17">
        <f>'3.2 CIES '!F17</f>
        <v>1428734</v>
      </c>
      <c r="I16" s="69">
        <f t="shared" si="1"/>
        <v>0</v>
      </c>
    </row>
    <row r="17" spans="2:9" x14ac:dyDescent="0.25">
      <c r="B17" s="8"/>
      <c r="C17" s="10"/>
      <c r="D17" s="8"/>
      <c r="E17" s="8"/>
      <c r="F17" s="8"/>
      <c r="H17" s="8"/>
      <c r="I17" s="69">
        <f t="shared" si="1"/>
        <v>0</v>
      </c>
    </row>
    <row r="18" spans="2:9" x14ac:dyDescent="0.25">
      <c r="B18" s="8"/>
      <c r="C18" s="10" t="s">
        <v>7</v>
      </c>
      <c r="D18" s="8">
        <f>'3.1 OUTTURN TO CIES REC'!E30</f>
        <v>0</v>
      </c>
      <c r="E18" s="8">
        <f>'3.1 OUTTURN TO CIES REC'!Y30</f>
        <v>-1425054</v>
      </c>
      <c r="F18" s="8">
        <f t="shared" ref="F18" si="2">SUM(D18:E18)</f>
        <v>-1425054</v>
      </c>
      <c r="H18" s="8">
        <f>SUM('3.2 CIES '!F19:F25)</f>
        <v>-1425054</v>
      </c>
      <c r="I18" s="69">
        <f t="shared" si="1"/>
        <v>0</v>
      </c>
    </row>
    <row r="19" spans="2:9" x14ac:dyDescent="0.25">
      <c r="B19" s="8"/>
      <c r="C19" s="10"/>
      <c r="D19" s="8"/>
      <c r="E19" s="8"/>
      <c r="F19" s="8"/>
      <c r="H19" s="8"/>
      <c r="I19" s="69">
        <f t="shared" si="1"/>
        <v>0</v>
      </c>
    </row>
    <row r="20" spans="2:9" ht="15.75" thickBot="1" x14ac:dyDescent="0.3">
      <c r="B20" s="12"/>
      <c r="C20" s="13" t="s">
        <v>8</v>
      </c>
      <c r="D20" s="12">
        <f>SUM(D16:D19)</f>
        <v>-30964</v>
      </c>
      <c r="E20" s="12">
        <f>SUM(E16:E19)</f>
        <v>34644</v>
      </c>
      <c r="F20" s="76">
        <f>SUM(F16:F19)</f>
        <v>3680</v>
      </c>
      <c r="H20" s="12">
        <f>'3.2 CIES '!F26</f>
        <v>3680</v>
      </c>
      <c r="I20" s="69">
        <f t="shared" si="1"/>
        <v>0</v>
      </c>
    </row>
    <row r="21" spans="2:9" x14ac:dyDescent="0.25">
      <c r="B21" s="8"/>
      <c r="C21" s="10"/>
      <c r="D21" s="8"/>
      <c r="E21" s="8"/>
      <c r="F21" s="8"/>
    </row>
    <row r="22" spans="2:9" x14ac:dyDescent="0.25">
      <c r="B22" s="8"/>
      <c r="C22" s="10" t="s">
        <v>11</v>
      </c>
      <c r="D22" s="75">
        <f>'3.1 OUTTURN TO CIES REC'!E35</f>
        <v>-39613</v>
      </c>
      <c r="E22" s="8"/>
      <c r="F22" s="8"/>
    </row>
    <row r="23" spans="2:9" ht="21" x14ac:dyDescent="0.25">
      <c r="B23" s="18"/>
      <c r="C23" s="10" t="s">
        <v>9</v>
      </c>
      <c r="D23" s="8">
        <f>'3.1 OUTTURN TO CIES REC'!E36</f>
        <v>-30964</v>
      </c>
      <c r="E23" s="18"/>
      <c r="F23" s="18"/>
    </row>
    <row r="24" spans="2:9" x14ac:dyDescent="0.25">
      <c r="B24" s="18"/>
      <c r="C24" s="10" t="s">
        <v>10</v>
      </c>
      <c r="D24" s="8">
        <f>'3.1 OUTTURN TO CIES REC'!E37</f>
        <v>9041</v>
      </c>
      <c r="E24" s="18"/>
      <c r="F24" s="18"/>
    </row>
    <row r="25" spans="2:9" x14ac:dyDescent="0.25">
      <c r="B25" s="18"/>
      <c r="C25" s="10"/>
      <c r="D25" s="8"/>
      <c r="E25" s="18"/>
      <c r="F25" s="18"/>
    </row>
    <row r="26" spans="2:9" ht="15.75" thickBot="1" x14ac:dyDescent="0.3">
      <c r="B26" s="19"/>
      <c r="C26" s="13" t="s">
        <v>12</v>
      </c>
      <c r="D26" s="12">
        <f>SUM(D22:D25)</f>
        <v>-61536</v>
      </c>
      <c r="E26" s="19"/>
      <c r="F26" s="19"/>
    </row>
    <row r="27" spans="2:9" x14ac:dyDescent="0.25">
      <c r="B27" s="20"/>
      <c r="C27" s="11"/>
      <c r="D27" s="7"/>
      <c r="E27" s="20"/>
      <c r="F27" s="20"/>
    </row>
    <row r="28" spans="2:9" x14ac:dyDescent="0.25">
      <c r="B28" s="21"/>
      <c r="E28" s="21"/>
      <c r="F28" s="21"/>
    </row>
  </sheetData>
  <mergeCells count="1">
    <mergeCell ref="D4:F4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selection activeCell="H13" sqref="H13"/>
    </sheetView>
  </sheetViews>
  <sheetFormatPr defaultRowHeight="15" x14ac:dyDescent="0.25"/>
  <cols>
    <col min="1" max="1" width="2.140625" style="1" customWidth="1"/>
    <col min="2" max="2" width="65.28515625" style="1" customWidth="1"/>
    <col min="3" max="8" width="18.7109375" style="1" customWidth="1"/>
    <col min="10" max="10" width="13.5703125" customWidth="1"/>
    <col min="11" max="11" width="14" customWidth="1"/>
  </cols>
  <sheetData>
    <row r="1" spans="2:11" x14ac:dyDescent="0.25">
      <c r="B1" s="86" t="s">
        <v>92</v>
      </c>
    </row>
    <row r="2" spans="2:11" x14ac:dyDescent="0.25">
      <c r="B2" s="86"/>
    </row>
    <row r="3" spans="2:11" ht="18" x14ac:dyDescent="0.25">
      <c r="B3" s="14" t="s">
        <v>13</v>
      </c>
    </row>
    <row r="4" spans="2:11" x14ac:dyDescent="0.25">
      <c r="B4" s="3"/>
      <c r="C4" s="107" t="s">
        <v>5</v>
      </c>
      <c r="D4" s="107"/>
      <c r="E4" s="107"/>
      <c r="F4" s="107"/>
      <c r="G4" s="107"/>
      <c r="H4" s="107"/>
    </row>
    <row r="5" spans="2:11" ht="31.5" x14ac:dyDescent="0.25">
      <c r="B5" s="4"/>
      <c r="C5" s="74" t="s">
        <v>99</v>
      </c>
      <c r="D5" s="15" t="s">
        <v>85</v>
      </c>
      <c r="E5" s="15" t="s">
        <v>14</v>
      </c>
      <c r="F5" s="92" t="s">
        <v>77</v>
      </c>
      <c r="G5" s="15" t="s">
        <v>15</v>
      </c>
      <c r="H5" s="15" t="s">
        <v>16</v>
      </c>
      <c r="J5" s="38" t="s">
        <v>86</v>
      </c>
    </row>
    <row r="6" spans="2:11" x14ac:dyDescent="0.25">
      <c r="B6" s="6"/>
      <c r="C6" s="5" t="s">
        <v>0</v>
      </c>
      <c r="D6" s="5"/>
      <c r="E6" s="5"/>
      <c r="F6" s="93"/>
      <c r="G6" s="5"/>
      <c r="H6" s="5" t="s">
        <v>0</v>
      </c>
    </row>
    <row r="7" spans="2:11" x14ac:dyDescent="0.25">
      <c r="B7" s="9"/>
      <c r="C7" s="8"/>
      <c r="D7" s="8"/>
      <c r="E7" s="8"/>
      <c r="F7" s="94"/>
      <c r="G7" s="8"/>
      <c r="H7" s="8"/>
    </row>
    <row r="8" spans="2:11" x14ac:dyDescent="0.25">
      <c r="B8" s="10" t="s">
        <v>78</v>
      </c>
      <c r="C8" s="8">
        <f>SUM('3.1 OUTTURN TO CIES REC'!G10:M10)</f>
        <v>-58998</v>
      </c>
      <c r="D8" s="8">
        <f>SUM('3.1 OUTTURN TO CIES REC'!O10)</f>
        <v>1500</v>
      </c>
      <c r="E8" s="8">
        <f>SUM('3.1 OUTTURN TO CIES REC'!N10,'3.1 OUTTURN TO CIES REC'!P10)</f>
        <v>-4277</v>
      </c>
      <c r="F8" s="94">
        <f>'3.1 OUTTURN TO CIES REC'!S10</f>
        <v>0</v>
      </c>
      <c r="G8" s="8">
        <f>'3.1 OUTTURN TO CIES REC'!W10</f>
        <v>1368213</v>
      </c>
      <c r="H8" s="8">
        <f>SUM(C8:G8)</f>
        <v>1306438</v>
      </c>
      <c r="J8" s="8">
        <f>'3.3 EFA'!E8</f>
        <v>1306438</v>
      </c>
      <c r="K8" s="8">
        <f>H8-J8</f>
        <v>0</v>
      </c>
    </row>
    <row r="9" spans="2:11" x14ac:dyDescent="0.25">
      <c r="B9" s="10" t="s">
        <v>84</v>
      </c>
      <c r="C9" s="8">
        <f>SUM('3.1 OUTTURN TO CIES REC'!G11:M11)</f>
        <v>24660</v>
      </c>
      <c r="D9" s="8">
        <f>SUM('3.1 OUTTURN TO CIES REC'!O11)</f>
        <v>2000</v>
      </c>
      <c r="E9" s="8">
        <f>SUM('3.1 OUTTURN TO CIES REC'!N11,'3.1 OUTTURN TO CIES REC'!P11)</f>
        <v>-100</v>
      </c>
      <c r="F9" s="94">
        <f>'3.1 OUTTURN TO CIES REC'!S11</f>
        <v>0</v>
      </c>
      <c r="G9" s="8">
        <f>'3.1 OUTTURN TO CIES REC'!W11</f>
        <v>0</v>
      </c>
      <c r="H9" s="8">
        <f t="shared" ref="H9:H14" si="0">SUM(C9:G9)</f>
        <v>26560</v>
      </c>
      <c r="J9" s="8">
        <f>'3.3 EFA'!E9</f>
        <v>26560</v>
      </c>
      <c r="K9" s="8">
        <f t="shared" ref="K9:K20" si="1">H9-J9</f>
        <v>0</v>
      </c>
    </row>
    <row r="10" spans="2:11" x14ac:dyDescent="0.25">
      <c r="B10" s="10" t="s">
        <v>33</v>
      </c>
      <c r="C10" s="8">
        <f>SUM('3.1 OUTTURN TO CIES REC'!G12:M12)</f>
        <v>24660</v>
      </c>
      <c r="D10" s="8">
        <f>SUM('3.1 OUTTURN TO CIES REC'!O12)</f>
        <v>2000</v>
      </c>
      <c r="E10" s="8">
        <f>SUM('3.1 OUTTURN TO CIES REC'!N12,'3.1 OUTTURN TO CIES REC'!P12)</f>
        <v>-1500</v>
      </c>
      <c r="F10" s="94">
        <f>'3.1 OUTTURN TO CIES REC'!S12</f>
        <v>10000</v>
      </c>
      <c r="G10" s="8">
        <f>'3.1 OUTTURN TO CIES REC'!W12</f>
        <v>0</v>
      </c>
      <c r="H10" s="94">
        <f t="shared" si="0"/>
        <v>35160</v>
      </c>
      <c r="J10" s="8">
        <f>'3.3 EFA'!E10</f>
        <v>35160</v>
      </c>
      <c r="K10" s="8">
        <f t="shared" si="1"/>
        <v>0</v>
      </c>
    </row>
    <row r="11" spans="2:11" x14ac:dyDescent="0.25">
      <c r="B11" s="10" t="s">
        <v>79</v>
      </c>
      <c r="C11" s="8">
        <f>SUM('3.1 OUTTURN TO CIES REC'!G13:M13)</f>
        <v>24660</v>
      </c>
      <c r="D11" s="8">
        <f>SUM('3.1 OUTTURN TO CIES REC'!O13)</f>
        <v>1000</v>
      </c>
      <c r="E11" s="8">
        <f>SUM('3.1 OUTTURN TO CIES REC'!N13,'3.1 OUTTURN TO CIES REC'!P13)</f>
        <v>-100</v>
      </c>
      <c r="F11" s="94">
        <f>'3.1 OUTTURN TO CIES REC'!S13</f>
        <v>0</v>
      </c>
      <c r="G11" s="8">
        <f>'3.1 OUTTURN TO CIES REC'!W13</f>
        <v>0</v>
      </c>
      <c r="H11" s="8">
        <f t="shared" si="0"/>
        <v>25560</v>
      </c>
      <c r="J11" s="8">
        <f>'3.3 EFA'!E11</f>
        <v>25560</v>
      </c>
      <c r="K11" s="8">
        <f t="shared" si="1"/>
        <v>0</v>
      </c>
    </row>
    <row r="12" spans="2:11" x14ac:dyDescent="0.25">
      <c r="B12" s="10" t="s">
        <v>80</v>
      </c>
      <c r="C12" s="8">
        <f>SUM('3.1 OUTTURN TO CIES REC'!G14:M14)</f>
        <v>24660</v>
      </c>
      <c r="D12" s="8">
        <f>SUM('3.1 OUTTURN TO CIES REC'!O14)</f>
        <v>1500</v>
      </c>
      <c r="E12" s="8">
        <f>SUM('3.1 OUTTURN TO CIES REC'!N14,'3.1 OUTTURN TO CIES REC'!P14)</f>
        <v>-100</v>
      </c>
      <c r="F12" s="94">
        <f>'3.1 OUTTURN TO CIES REC'!S14</f>
        <v>0</v>
      </c>
      <c r="G12" s="8">
        <f>'3.1 OUTTURN TO CIES REC'!W14</f>
        <v>0</v>
      </c>
      <c r="H12" s="8">
        <f t="shared" si="0"/>
        <v>26060</v>
      </c>
      <c r="J12" s="8">
        <f>'3.3 EFA'!E12</f>
        <v>26060</v>
      </c>
      <c r="K12" s="8">
        <f t="shared" si="1"/>
        <v>0</v>
      </c>
    </row>
    <row r="13" spans="2:11" x14ac:dyDescent="0.25">
      <c r="B13" s="10" t="s">
        <v>45</v>
      </c>
      <c r="C13" s="8">
        <f>SUM('3.1 OUTTURN TO CIES REC'!G15:M15)</f>
        <v>21660</v>
      </c>
      <c r="D13" s="8">
        <f>SUM('3.1 OUTTURN TO CIES REC'!O15)</f>
        <v>2500</v>
      </c>
      <c r="E13" s="8">
        <f>SUM('3.1 OUTTURN TO CIES REC'!N15,'3.1 OUTTURN TO CIES REC'!P15)</f>
        <v>-300</v>
      </c>
      <c r="F13" s="94">
        <f>'3.1 OUTTURN TO CIES REC'!S15</f>
        <v>-10000</v>
      </c>
      <c r="G13" s="8">
        <f>'3.1 OUTTURN TO CIES REC'!W15</f>
        <v>0</v>
      </c>
      <c r="H13" s="94">
        <f t="shared" si="0"/>
        <v>13860</v>
      </c>
      <c r="J13" s="8">
        <f>'3.3 EFA'!E13</f>
        <v>13860</v>
      </c>
      <c r="K13" s="8">
        <f t="shared" si="1"/>
        <v>0</v>
      </c>
    </row>
    <row r="14" spans="2:11" x14ac:dyDescent="0.25">
      <c r="B14" s="10" t="s">
        <v>107</v>
      </c>
      <c r="C14" s="8">
        <f>SUM('3.1 OUTTURN TO CIES REC'!G16:M16)</f>
        <v>24660</v>
      </c>
      <c r="D14" s="8">
        <f>SUM('3.1 OUTTURN TO CIES REC'!O16)</f>
        <v>1500</v>
      </c>
      <c r="E14" s="8">
        <f>SUM('3.1 OUTTURN TO CIES REC'!N16,'3.1 OUTTURN TO CIES REC'!P16)</f>
        <v>-100</v>
      </c>
      <c r="F14" s="94">
        <f>'3.1 OUTTURN TO CIES REC'!S16</f>
        <v>0</v>
      </c>
      <c r="G14" s="8">
        <f>'3.1 OUTTURN TO CIES REC'!W16</f>
        <v>0</v>
      </c>
      <c r="H14" s="8">
        <f t="shared" si="0"/>
        <v>26060</v>
      </c>
      <c r="J14" s="8">
        <f>'3.3 EFA'!E14</f>
        <v>26060</v>
      </c>
      <c r="K14" s="8">
        <f t="shared" si="1"/>
        <v>0</v>
      </c>
    </row>
    <row r="15" spans="2:11" x14ac:dyDescent="0.25">
      <c r="B15" s="10"/>
      <c r="C15" s="8"/>
      <c r="D15" s="8"/>
      <c r="E15" s="8"/>
      <c r="F15" s="94"/>
      <c r="G15" s="8"/>
      <c r="H15" s="8"/>
      <c r="J15" s="8"/>
      <c r="K15" s="8">
        <f t="shared" si="1"/>
        <v>0</v>
      </c>
    </row>
    <row r="16" spans="2:11" x14ac:dyDescent="0.25">
      <c r="B16" s="16" t="s">
        <v>6</v>
      </c>
      <c r="C16" s="17">
        <f t="shared" ref="C16:H16" si="2">SUM(C8:C15)</f>
        <v>85962</v>
      </c>
      <c r="D16" s="17">
        <f t="shared" si="2"/>
        <v>12000</v>
      </c>
      <c r="E16" s="17">
        <f t="shared" si="2"/>
        <v>-6477</v>
      </c>
      <c r="F16" s="95">
        <f t="shared" si="2"/>
        <v>0</v>
      </c>
      <c r="G16" s="17">
        <f t="shared" si="2"/>
        <v>1368213</v>
      </c>
      <c r="H16" s="17">
        <f t="shared" si="2"/>
        <v>1459698</v>
      </c>
      <c r="J16" s="8">
        <f>'3.3 EFA'!E16</f>
        <v>1459698</v>
      </c>
      <c r="K16" s="8">
        <f t="shared" si="1"/>
        <v>0</v>
      </c>
    </row>
    <row r="17" spans="2:11" x14ac:dyDescent="0.25">
      <c r="B17" s="10"/>
      <c r="C17" s="8"/>
      <c r="D17" s="8"/>
      <c r="E17" s="8"/>
      <c r="F17" s="94"/>
      <c r="G17" s="8"/>
      <c r="H17" s="8"/>
      <c r="J17" s="8">
        <f>'3.3 EFA'!E17</f>
        <v>0</v>
      </c>
      <c r="K17" s="8">
        <f t="shared" si="1"/>
        <v>0</v>
      </c>
    </row>
    <row r="18" spans="2:11" x14ac:dyDescent="0.25">
      <c r="B18" s="10" t="s">
        <v>7</v>
      </c>
      <c r="C18" s="8">
        <f>SUM('3.1 OUTTURN TO CIES REC'!G30:M30)</f>
        <v>-105841</v>
      </c>
      <c r="D18" s="8">
        <f>SUM('3.1 OUTTURN TO CIES REC'!O30)</f>
        <v>49000</v>
      </c>
      <c r="E18" s="8">
        <f>SUM('3.1 OUTTURN TO CIES REC'!N30,'3.1 OUTTURN TO CIES REC'!P30)</f>
        <v>0</v>
      </c>
      <c r="F18" s="94">
        <f>'3.1 OUTTURN TO CIES REC'!S20</f>
        <v>0</v>
      </c>
      <c r="G18" s="8">
        <f>'3.1 OUTTURN TO CIES REC'!W30</f>
        <v>-1368213</v>
      </c>
      <c r="H18" s="8">
        <f t="shared" ref="H18" si="3">SUM(C18:G18)</f>
        <v>-1425054</v>
      </c>
      <c r="J18" s="8">
        <f>'3.3 EFA'!E18</f>
        <v>-1425054</v>
      </c>
      <c r="K18" s="8">
        <f t="shared" si="1"/>
        <v>0</v>
      </c>
    </row>
    <row r="19" spans="2:11" x14ac:dyDescent="0.25">
      <c r="B19" s="10"/>
      <c r="C19" s="8"/>
      <c r="D19" s="8"/>
      <c r="E19" s="8"/>
      <c r="F19" s="94"/>
      <c r="G19" s="8"/>
      <c r="H19" s="8"/>
      <c r="J19" s="8">
        <f>'3.3 EFA'!E19</f>
        <v>0</v>
      </c>
      <c r="K19" s="8">
        <f t="shared" si="1"/>
        <v>0</v>
      </c>
    </row>
    <row r="20" spans="2:11" ht="32.25" thickBot="1" x14ac:dyDescent="0.3">
      <c r="B20" s="13" t="s">
        <v>17</v>
      </c>
      <c r="C20" s="12">
        <f t="shared" ref="C20:H20" si="4">SUM(C16:C19)</f>
        <v>-19879</v>
      </c>
      <c r="D20" s="12">
        <f t="shared" si="4"/>
        <v>61000</v>
      </c>
      <c r="E20" s="12">
        <f t="shared" si="4"/>
        <v>-6477</v>
      </c>
      <c r="F20" s="96">
        <f t="shared" si="4"/>
        <v>0</v>
      </c>
      <c r="G20" s="12">
        <f t="shared" si="4"/>
        <v>0</v>
      </c>
      <c r="H20" s="12">
        <f t="shared" si="4"/>
        <v>34644</v>
      </c>
      <c r="J20" s="8">
        <f>'3.3 EFA'!E20</f>
        <v>34644</v>
      </c>
      <c r="K20" s="8">
        <f t="shared" si="1"/>
        <v>0</v>
      </c>
    </row>
    <row r="21" spans="2:11" x14ac:dyDescent="0.25">
      <c r="B21" s="10"/>
      <c r="C21" s="8"/>
      <c r="D21" s="8"/>
      <c r="E21" s="8"/>
      <c r="F21" s="8"/>
      <c r="G21" s="8"/>
      <c r="H21" s="8"/>
    </row>
    <row r="22" spans="2:11" x14ac:dyDescent="0.25">
      <c r="B22" s="11"/>
      <c r="C22" s="7"/>
      <c r="D22" s="7"/>
      <c r="E22" s="7"/>
      <c r="F22" s="7"/>
      <c r="G22" s="20"/>
      <c r="H22" s="20"/>
    </row>
    <row r="23" spans="2:11" x14ac:dyDescent="0.25">
      <c r="G23" s="21"/>
      <c r="H23" s="21"/>
    </row>
  </sheetData>
  <mergeCells count="1">
    <mergeCell ref="C4:H4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2"/>
  <sheetViews>
    <sheetView workbookViewId="0">
      <selection activeCell="B34" sqref="B34"/>
    </sheetView>
  </sheetViews>
  <sheetFormatPr defaultRowHeight="15" x14ac:dyDescent="0.25"/>
  <cols>
    <col min="1" max="1" width="6.42578125" customWidth="1"/>
    <col min="2" max="2" width="42.28515625" customWidth="1"/>
    <col min="3" max="3" width="13.42578125" customWidth="1"/>
    <col min="4" max="5" width="14.85546875" customWidth="1"/>
  </cols>
  <sheetData>
    <row r="1" spans="2:5" x14ac:dyDescent="0.25">
      <c r="B1" s="86" t="s">
        <v>92</v>
      </c>
    </row>
    <row r="2" spans="2:5" x14ac:dyDescent="0.25">
      <c r="B2" s="86"/>
    </row>
    <row r="3" spans="2:5" ht="18" x14ac:dyDescent="0.25">
      <c r="B3" s="14" t="s">
        <v>96</v>
      </c>
    </row>
    <row r="5" spans="2:5" x14ac:dyDescent="0.25">
      <c r="B5" s="101" t="s">
        <v>104</v>
      </c>
      <c r="C5" s="102"/>
    </row>
    <row r="7" spans="2:5" x14ac:dyDescent="0.25">
      <c r="B7" t="s">
        <v>97</v>
      </c>
    </row>
    <row r="8" spans="2:5" x14ac:dyDescent="0.25">
      <c r="B8" t="s">
        <v>105</v>
      </c>
    </row>
    <row r="9" spans="2:5" x14ac:dyDescent="0.25">
      <c r="B9" t="s">
        <v>106</v>
      </c>
    </row>
    <row r="11" spans="2:5" x14ac:dyDescent="0.25">
      <c r="C11" s="73" t="s">
        <v>19</v>
      </c>
      <c r="D11" s="73" t="s">
        <v>20</v>
      </c>
      <c r="E11" s="73" t="s">
        <v>21</v>
      </c>
    </row>
    <row r="12" spans="2:5" x14ac:dyDescent="0.25">
      <c r="C12" s="5" t="s">
        <v>0</v>
      </c>
      <c r="D12" s="5" t="s">
        <v>0</v>
      </c>
      <c r="E12" s="5" t="s">
        <v>0</v>
      </c>
    </row>
    <row r="14" spans="2:5" x14ac:dyDescent="0.25">
      <c r="B14" s="10" t="s">
        <v>78</v>
      </c>
      <c r="C14" s="27">
        <f>'3.2 CIES '!D9</f>
        <v>40000</v>
      </c>
      <c r="D14" s="27">
        <f>'3.2 CIES '!E9</f>
        <v>-12526</v>
      </c>
      <c r="E14" s="27">
        <f>SUM(C14:D14)</f>
        <v>27474</v>
      </c>
    </row>
    <row r="15" spans="2:5" x14ac:dyDescent="0.25">
      <c r="B15" s="10" t="s">
        <v>84</v>
      </c>
      <c r="C15" s="27">
        <f>'3.2 CIES '!D10</f>
        <v>150000</v>
      </c>
      <c r="D15" s="27">
        <f>'3.2 CIES '!E10</f>
        <v>-23440</v>
      </c>
      <c r="E15" s="27">
        <f t="shared" ref="E15:E20" si="0">SUM(C15:D15)</f>
        <v>126560</v>
      </c>
    </row>
    <row r="16" spans="2:5" x14ac:dyDescent="0.25">
      <c r="B16" s="10" t="s">
        <v>33</v>
      </c>
      <c r="C16" s="27">
        <f>'3.2 CIES '!D11</f>
        <v>475000</v>
      </c>
      <c r="D16" s="27">
        <f>'3.2 CIES '!E11+'OUTTURN REPORT TOTALS'!E9</f>
        <v>-21840</v>
      </c>
      <c r="E16" s="27">
        <f t="shared" si="0"/>
        <v>453160</v>
      </c>
    </row>
    <row r="17" spans="2:5" x14ac:dyDescent="0.25">
      <c r="B17" s="10" t="s">
        <v>79</v>
      </c>
      <c r="C17" s="27">
        <f>'3.2 CIES '!D12</f>
        <v>150000</v>
      </c>
      <c r="D17" s="27">
        <f>'3.2 CIES '!E12</f>
        <v>-34440</v>
      </c>
      <c r="E17" s="27">
        <f t="shared" si="0"/>
        <v>115560</v>
      </c>
    </row>
    <row r="18" spans="2:5" x14ac:dyDescent="0.25">
      <c r="B18" s="10" t="s">
        <v>80</v>
      </c>
      <c r="C18" s="27">
        <f>'3.2 CIES '!D13</f>
        <v>200000</v>
      </c>
      <c r="D18" s="27">
        <f>'3.2 CIES '!E13</f>
        <v>-33940</v>
      </c>
      <c r="E18" s="27">
        <f t="shared" si="0"/>
        <v>166060</v>
      </c>
    </row>
    <row r="19" spans="2:5" x14ac:dyDescent="0.25">
      <c r="B19" s="10" t="s">
        <v>45</v>
      </c>
      <c r="C19" s="27">
        <f>'3.2 CIES '!D14+'OUTTURN REPORT TOTALS'!D12</f>
        <v>545000</v>
      </c>
      <c r="D19" s="27">
        <f>'3.2 CIES '!E14</f>
        <v>-81140</v>
      </c>
      <c r="E19" s="27">
        <f t="shared" si="0"/>
        <v>463860</v>
      </c>
    </row>
    <row r="20" spans="2:5" x14ac:dyDescent="0.25">
      <c r="B20" s="89" t="s">
        <v>107</v>
      </c>
      <c r="C20" s="27">
        <f>'3.2 CIES '!D15</f>
        <v>250000</v>
      </c>
      <c r="D20" s="27">
        <f>'3.2 CIES '!E15</f>
        <v>-173940</v>
      </c>
      <c r="E20" s="90">
        <f t="shared" si="0"/>
        <v>76060</v>
      </c>
    </row>
    <row r="21" spans="2:5" x14ac:dyDescent="0.25">
      <c r="B21" s="10"/>
      <c r="C21" s="35"/>
      <c r="D21" s="35"/>
      <c r="E21" s="35"/>
    </row>
    <row r="22" spans="2:5" ht="15.75" thickBot="1" x14ac:dyDescent="0.3">
      <c r="B22" s="29" t="s">
        <v>95</v>
      </c>
      <c r="C22" s="28">
        <f>SUM(C14:C21)</f>
        <v>1810000</v>
      </c>
      <c r="D22" s="28">
        <f t="shared" ref="D22:E22" si="1">SUM(D14:D21)</f>
        <v>-381266</v>
      </c>
      <c r="E22" s="28">
        <f t="shared" si="1"/>
        <v>1428734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OUTTURN REPORT TOTALS</vt:lpstr>
      <vt:lpstr>3.1 OUTTURN TO CIES REC</vt:lpstr>
      <vt:lpstr>3.2 CIES </vt:lpstr>
      <vt:lpstr>3.3 EFA</vt:lpstr>
      <vt:lpstr>3.4 EFA Note</vt:lpstr>
      <vt:lpstr>3.5 Note to CIES</vt:lpstr>
    </vt:vector>
  </TitlesOfParts>
  <Company>Technology 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njf2vfkvGHwRY6ipoFmS</dc:creator>
  <cp:lastModifiedBy>Davies, Gareth</cp:lastModifiedBy>
  <cp:lastPrinted>2018-04-06T12:27:33Z</cp:lastPrinted>
  <dcterms:created xsi:type="dcterms:W3CDTF">2016-06-16T10:44:51Z</dcterms:created>
  <dcterms:modified xsi:type="dcterms:W3CDTF">2018-04-06T12:38:03Z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62895482</vt:i4>
  </property>
  <property fmtid="{D5CDD505-2E9C-101B-9397-08002B2CF9AE}" pid="3" name="_NewReviewCycle">
    <vt:lpwstr/>
  </property>
  <property fmtid="{D5CDD505-2E9C-101B-9397-08002B2CF9AE}" pid="4" name="_EmailSubject">
    <vt:lpwstr>LASAAC Web Pages Update Request</vt:lpwstr>
  </property>
  <property fmtid="{D5CDD505-2E9C-101B-9397-08002B2CF9AE}" pid="5" name="_AuthorEmail">
    <vt:lpwstr>gareth.davies@cipfa.org</vt:lpwstr>
  </property>
  <property fmtid="{D5CDD505-2E9C-101B-9397-08002B2CF9AE}" pid="6" name="_AuthorEmailDisplayName">
    <vt:lpwstr>Davies, Gareth</vt:lpwstr>
  </property>
  <property fmtid="{D5CDD505-2E9C-101B-9397-08002B2CF9AE}" pid="7" name="_PreviousAdHocReviewCycleID">
    <vt:i4>-715097814</vt:i4>
  </property>
</Properties>
</file>